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iagrams/data1.xml" ContentType="application/vnd.openxmlformats-officedocument.drawingml.diagramData+xml"/>
  <Override PartName="/xl/diagrams/layout1.xml" ContentType="application/vnd.openxmlformats-officedocument.drawingml.diagramLayout+xml"/>
  <Override PartName="/xl/diagrams/quickStyle1.xml" ContentType="application/vnd.openxmlformats-officedocument.drawingml.diagramStyle+xml"/>
  <Override PartName="/xl/diagrams/colors1.xml" ContentType="application/vnd.openxmlformats-officedocument.drawingml.diagramColors+xml"/>
  <Override PartName="/xl/diagrams/drawing1.xml" ContentType="application/vnd.ms-office.drawingml.diagram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comments2.xml" ContentType="application/vnd.openxmlformats-officedocument.spreadsheetml.comments+xml"/>
  <Override PartName="/xl/drawings/drawing4.xml" ContentType="application/vnd.openxmlformats-officedocument.drawing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showInkAnnotation="0" codeName="DieseArbeitsmappe" defaultThemeVersion="124226"/>
  <mc:AlternateContent xmlns:mc="http://schemas.openxmlformats.org/markup-compatibility/2006">
    <mc:Choice Requires="x15">
      <x15ac:absPath xmlns:x15ac="http://schemas.microsoft.com/office/spreadsheetml/2010/11/ac" url="F:\"/>
    </mc:Choice>
  </mc:AlternateContent>
  <bookViews>
    <workbookView xWindow="0" yWindow="0" windowWidth="2370" windowHeight="0" tabRatio="891" firstSheet="3" activeTab="4"/>
  </bookViews>
  <sheets>
    <sheet name="10 Commandments" sheetId="5" r:id="rId1"/>
    <sheet name="FAQ" sheetId="10" r:id="rId2"/>
    <sheet name="Fairytale Archive Structure" sheetId="38" r:id="rId3"/>
    <sheet name="PRACTICAL CHART" sheetId="30" r:id="rId4"/>
    <sheet name="slower than practical" sheetId="36" r:id="rId5"/>
    <sheet name="AUDIO" sheetId="33" r:id="rId6"/>
    <sheet name="Camera Raw" sheetId="37" r:id="rId7"/>
    <sheet name="Camera Raw ARW" sheetId="39" r:id="rId8"/>
    <sheet name="EXE" sheetId="40" r:id="rId9"/>
    <sheet name="IMAGE" sheetId="35" r:id="rId10"/>
    <sheet name="PDF, JPG, MP3, PNG, Installer.." sheetId="16" r:id="rId11"/>
    <sheet name="TEXT (Bibles)" sheetId="31" r:id="rId12"/>
  </sheets>
  <definedNames>
    <definedName name="Alter" localSheetId="8">#REF!</definedName>
    <definedName name="Alter" localSheetId="9">#REF!</definedName>
    <definedName name="Alter" localSheetId="4">#REF!</definedName>
    <definedName name="Alter">#REF!</definedName>
    <definedName name="_xlnm.Database" localSheetId="8">#REF!</definedName>
    <definedName name="_xlnm.Database">#REF!</definedName>
    <definedName name="Excel_BuiltIn__FilterDatabase_9" localSheetId="8">#REF!</definedName>
    <definedName name="Excel_BuiltIn__FilterDatabase_9" localSheetId="9">#REF!</definedName>
    <definedName name="Excel_BuiltIn__FilterDatabase_9" localSheetId="10">#REF!</definedName>
    <definedName name="Excel_BuiltIn__FilterDatabase_9" localSheetId="3">#REF!</definedName>
    <definedName name="Excel_BuiltIn__FilterDatabase_9" localSheetId="4">#REF!</definedName>
    <definedName name="Excel_BuiltIn__FilterDatabase_9" localSheetId="11">#REF!</definedName>
    <definedName name="Excel_BuiltIn__FilterDatabase_9">#REF!</definedName>
    <definedName name="Excel_BuiltIn_Database" localSheetId="8">#REF!</definedName>
    <definedName name="Excel_BuiltIn_Database" localSheetId="9">#REF!</definedName>
    <definedName name="Excel_BuiltIn_Database" localSheetId="10">#REF!</definedName>
    <definedName name="Excel_BuiltIn_Database">#REF!</definedName>
  </definedNames>
  <calcPr calcId="152511"/>
</workbook>
</file>

<file path=xl/calcChain.xml><?xml version="1.0" encoding="utf-8"?>
<calcChain xmlns="http://schemas.openxmlformats.org/spreadsheetml/2006/main">
  <c r="E12" i="40" l="1"/>
  <c r="E456" i="35" l="1"/>
  <c r="K445" i="35"/>
  <c r="E294" i="35"/>
  <c r="E105" i="35"/>
  <c r="E15" i="35" l="1"/>
  <c r="H23" i="30" l="1"/>
  <c r="G13" i="36" l="1"/>
  <c r="G14" i="36" l="1"/>
  <c r="G57" i="36" l="1"/>
  <c r="E46" i="40" l="1"/>
  <c r="E43" i="40"/>
  <c r="E40" i="40"/>
  <c r="E37" i="40"/>
  <c r="E42" i="40"/>
  <c r="E41" i="40"/>
  <c r="E45" i="40"/>
  <c r="E44" i="40"/>
  <c r="E39" i="40"/>
  <c r="E38" i="40"/>
  <c r="E36" i="40"/>
  <c r="E32" i="40"/>
  <c r="E34" i="40"/>
  <c r="E35" i="40"/>
  <c r="E33" i="40"/>
  <c r="E31" i="40"/>
  <c r="E30" i="40"/>
  <c r="E17" i="40"/>
  <c r="E16" i="40"/>
  <c r="E29" i="40" l="1"/>
  <c r="E28" i="40"/>
  <c r="E27" i="40"/>
  <c r="E26" i="40"/>
  <c r="E25" i="40"/>
  <c r="E24" i="40"/>
  <c r="E23" i="40"/>
  <c r="E22" i="40"/>
  <c r="E21" i="40"/>
  <c r="E20" i="40"/>
  <c r="H48" i="30"/>
  <c r="G48" i="30"/>
  <c r="H17" i="30"/>
  <c r="G20" i="30"/>
  <c r="H20" i="30"/>
  <c r="H33" i="30"/>
  <c r="H27" i="30"/>
  <c r="G27" i="30"/>
  <c r="E19" i="40" l="1"/>
  <c r="E18" i="40"/>
  <c r="E15" i="40"/>
  <c r="E13" i="40"/>
  <c r="E14" i="40"/>
  <c r="H167" i="30"/>
  <c r="G167" i="30"/>
  <c r="E459" i="35"/>
  <c r="E292" i="35"/>
  <c r="E107" i="35"/>
  <c r="E16" i="35"/>
  <c r="E464" i="35"/>
  <c r="E465" i="35"/>
  <c r="E287" i="35"/>
  <c r="E139" i="35"/>
  <c r="G22" i="36" l="1"/>
  <c r="E22" i="35"/>
  <c r="G16" i="36" l="1"/>
  <c r="G107" i="36" l="1"/>
  <c r="G106" i="36"/>
  <c r="H15" i="30" l="1"/>
  <c r="G33" i="30" l="1"/>
  <c r="G554" i="30"/>
  <c r="G80" i="36" l="1"/>
  <c r="H553" i="30"/>
  <c r="H14" i="30"/>
  <c r="G553" i="30" l="1"/>
  <c r="C71" i="31" l="1"/>
  <c r="E71" i="31"/>
  <c r="C52" i="31"/>
  <c r="E52" i="31"/>
  <c r="D71" i="31"/>
  <c r="D52" i="31"/>
  <c r="C56" i="31"/>
  <c r="E56" i="31"/>
  <c r="E109" i="31" l="1"/>
  <c r="C83" i="31"/>
  <c r="E83" i="31"/>
  <c r="E75" i="31"/>
  <c r="D56" i="31"/>
  <c r="E140" i="31"/>
  <c r="D75" i="31"/>
  <c r="D109" i="31"/>
  <c r="D83" i="31"/>
  <c r="G104" i="36" l="1"/>
  <c r="C49" i="31"/>
  <c r="E49" i="31"/>
  <c r="C112" i="31"/>
  <c r="E112" i="31"/>
  <c r="G103" i="36"/>
  <c r="D49" i="31"/>
  <c r="D112" i="31"/>
  <c r="C65" i="31" l="1"/>
  <c r="E65" i="31"/>
  <c r="C70" i="31"/>
  <c r="E70" i="31"/>
  <c r="C88" i="31"/>
  <c r="E88" i="31"/>
  <c r="E120" i="31"/>
  <c r="D65" i="31"/>
  <c r="D70" i="31"/>
  <c r="E117" i="31"/>
  <c r="E118" i="31"/>
  <c r="E59" i="31"/>
  <c r="E97" i="31"/>
  <c r="E91" i="31"/>
  <c r="E69" i="31"/>
  <c r="G23" i="30" l="1"/>
  <c r="D69" i="31" l="1"/>
  <c r="D59" i="31"/>
  <c r="D97" i="31"/>
  <c r="D91" i="31"/>
  <c r="D118" i="31"/>
  <c r="D117" i="31"/>
  <c r="D120" i="31"/>
  <c r="D88" i="31"/>
  <c r="C125" i="31"/>
  <c r="E125" i="31"/>
  <c r="E76" i="31"/>
  <c r="E114" i="31"/>
  <c r="E121" i="31" l="1"/>
  <c r="E115" i="31"/>
  <c r="E127" i="31"/>
  <c r="E119" i="31"/>
  <c r="E111" i="31"/>
  <c r="E78" i="31"/>
  <c r="E54" i="31"/>
  <c r="E123" i="31"/>
  <c r="E128" i="31"/>
  <c r="D78" i="31"/>
  <c r="D54" i="31"/>
  <c r="D128" i="31"/>
  <c r="D123" i="31"/>
  <c r="D111" i="31"/>
  <c r="D119" i="31"/>
  <c r="D127" i="31"/>
  <c r="D115" i="31"/>
  <c r="D121" i="31"/>
  <c r="D114" i="31"/>
  <c r="D76" i="31"/>
  <c r="D125" i="31"/>
  <c r="C86" i="31"/>
  <c r="E86" i="31"/>
  <c r="E92" i="31"/>
  <c r="D86" i="31" l="1"/>
  <c r="D92" i="31"/>
  <c r="G544" i="30" l="1"/>
  <c r="G543" i="30" l="1"/>
  <c r="G542" i="30"/>
  <c r="G91" i="36"/>
  <c r="G97" i="36"/>
  <c r="G96" i="36"/>
  <c r="G76" i="36"/>
  <c r="G94" i="36"/>
  <c r="G433" i="30"/>
  <c r="G107" i="30"/>
  <c r="G497" i="30"/>
  <c r="E18" i="35"/>
  <c r="E106" i="35"/>
  <c r="E295" i="35" l="1"/>
  <c r="E296" i="35"/>
  <c r="E104" i="35"/>
  <c r="E17" i="35"/>
  <c r="E150" i="33"/>
  <c r="E36" i="33" l="1"/>
  <c r="E49" i="35"/>
  <c r="E184" i="35"/>
  <c r="E369" i="35"/>
  <c r="G89" i="36"/>
  <c r="G88" i="36"/>
  <c r="G83" i="36"/>
  <c r="E457" i="35"/>
  <c r="E458" i="35"/>
  <c r="E466" i="35"/>
  <c r="E471" i="35"/>
  <c r="E461" i="35"/>
  <c r="E462" i="35"/>
  <c r="E460" i="35"/>
  <c r="E472" i="35"/>
  <c r="E470" i="35"/>
  <c r="E475" i="35"/>
  <c r="E463" i="35"/>
  <c r="E479" i="35"/>
  <c r="E468" i="35"/>
  <c r="E467" i="35"/>
  <c r="E474" i="35"/>
  <c r="E473" i="35"/>
  <c r="E477" i="35"/>
  <c r="E480" i="35"/>
  <c r="E476" i="35"/>
  <c r="E469" i="35"/>
  <c r="E481" i="35"/>
  <c r="E478" i="35"/>
  <c r="E482" i="35"/>
  <c r="L454" i="35"/>
  <c r="G454" i="35"/>
  <c r="K454" i="35"/>
  <c r="J454" i="35"/>
  <c r="I454" i="35"/>
  <c r="H454" i="35"/>
  <c r="F454" i="35"/>
  <c r="D456" i="35" l="1"/>
  <c r="D459" i="35"/>
  <c r="D464" i="35"/>
  <c r="D471" i="35"/>
  <c r="D466" i="35"/>
  <c r="D482" i="35"/>
  <c r="D465" i="35"/>
  <c r="D461" i="35"/>
  <c r="D475" i="35"/>
  <c r="D473" i="35"/>
  <c r="D468" i="35"/>
  <c r="D469" i="35"/>
  <c r="D462" i="35"/>
  <c r="D463" i="35"/>
  <c r="D476" i="35"/>
  <c r="D472" i="35"/>
  <c r="D467" i="35"/>
  <c r="D478" i="35"/>
  <c r="D457" i="35"/>
  <c r="D470" i="35"/>
  <c r="D474" i="35"/>
  <c r="D481" i="35"/>
  <c r="D460" i="35"/>
  <c r="D480" i="35"/>
  <c r="D477" i="35"/>
  <c r="D479" i="35"/>
  <c r="D458" i="35"/>
  <c r="D455" i="35"/>
  <c r="H18" i="30"/>
  <c r="E229" i="35" l="1"/>
  <c r="E305" i="35"/>
  <c r="E368" i="35"/>
  <c r="E299" i="35"/>
  <c r="E118" i="35"/>
  <c r="E113" i="35" l="1"/>
  <c r="E19" i="35"/>
  <c r="E58" i="33"/>
  <c r="E64" i="33" l="1"/>
  <c r="E57" i="35"/>
  <c r="E82" i="33"/>
  <c r="E165" i="33"/>
  <c r="E27" i="35" l="1"/>
  <c r="E143" i="33" l="1"/>
  <c r="E151" i="33" l="1"/>
  <c r="E50" i="33" l="1"/>
  <c r="E289" i="35"/>
  <c r="E140" i="35"/>
  <c r="E24" i="35" l="1"/>
  <c r="G15" i="36" l="1"/>
  <c r="E12" i="31" l="1"/>
  <c r="G193" i="30" l="1"/>
  <c r="D12" i="31"/>
  <c r="G200" i="30"/>
  <c r="C77" i="31"/>
  <c r="E77" i="31"/>
  <c r="D77" i="31"/>
  <c r="G501" i="30"/>
  <c r="E21" i="35" l="1"/>
  <c r="G499" i="30" l="1"/>
  <c r="E301" i="35"/>
  <c r="E111" i="35"/>
  <c r="E298" i="35"/>
  <c r="E116" i="35"/>
  <c r="E29" i="35"/>
  <c r="E28" i="35"/>
  <c r="E85" i="31"/>
  <c r="E13" i="31"/>
  <c r="E21" i="31" l="1"/>
  <c r="E14" i="31" l="1"/>
  <c r="D13" i="31" l="1"/>
  <c r="D85" i="31"/>
  <c r="D21" i="31"/>
  <c r="D14" i="31"/>
  <c r="G213" i="30" l="1"/>
  <c r="G481" i="30" l="1"/>
  <c r="G28" i="30"/>
  <c r="G23" i="36"/>
  <c r="G180" i="30" l="1"/>
  <c r="G18" i="36"/>
  <c r="G17" i="36" l="1"/>
  <c r="G319" i="30" l="1"/>
  <c r="G20" i="36"/>
  <c r="G412" i="30" l="1"/>
  <c r="G328" i="30"/>
  <c r="G184" i="30" l="1"/>
  <c r="G25" i="36" l="1"/>
  <c r="G19" i="36" l="1"/>
  <c r="G135" i="30" l="1"/>
  <c r="G153" i="30" l="1"/>
  <c r="G289" i="30" l="1"/>
  <c r="G58" i="36" l="1"/>
  <c r="E22" i="31" l="1"/>
  <c r="E37" i="31" l="1"/>
  <c r="E20" i="31"/>
  <c r="E139" i="31" l="1"/>
  <c r="D20" i="31"/>
  <c r="D22" i="31"/>
  <c r="D37" i="31"/>
  <c r="I26" i="39" l="1"/>
  <c r="G96" i="30" l="1"/>
  <c r="E31" i="37" l="1"/>
  <c r="E26" i="39" l="1"/>
  <c r="J26" i="39" l="1"/>
  <c r="J25" i="39"/>
  <c r="K26" i="39" l="1"/>
  <c r="E48" i="40" l="1"/>
  <c r="E54" i="40"/>
  <c r="E70" i="40" l="1"/>
  <c r="E66" i="40"/>
  <c r="E65" i="40"/>
  <c r="E56" i="40"/>
  <c r="E50" i="40"/>
  <c r="E55" i="40"/>
  <c r="J10" i="40"/>
  <c r="I10" i="40"/>
  <c r="H10" i="40"/>
  <c r="G10" i="40"/>
  <c r="F10" i="40"/>
  <c r="D12" i="40" l="1"/>
  <c r="D28" i="40"/>
  <c r="D13" i="40"/>
  <c r="D14" i="40"/>
  <c r="D16" i="40"/>
  <c r="D29" i="40"/>
  <c r="D21" i="40"/>
  <c r="D15" i="40"/>
  <c r="D18" i="40"/>
  <c r="D37" i="40"/>
  <c r="D41" i="40"/>
  <c r="D24" i="40"/>
  <c r="D26" i="40"/>
  <c r="D11" i="40"/>
  <c r="D17" i="40"/>
  <c r="D39" i="40"/>
  <c r="D19" i="40"/>
  <c r="D34" i="40"/>
  <c r="D38" i="40"/>
  <c r="D31" i="40"/>
  <c r="D35" i="40"/>
  <c r="D40" i="40"/>
  <c r="D45" i="40"/>
  <c r="D22" i="40"/>
  <c r="D25" i="40"/>
  <c r="D44" i="40"/>
  <c r="D36" i="40"/>
  <c r="D42" i="40"/>
  <c r="D46" i="40"/>
  <c r="D30" i="40"/>
  <c r="D27" i="40"/>
  <c r="D23" i="40"/>
  <c r="D32" i="40"/>
  <c r="D20" i="40"/>
  <c r="D33" i="40"/>
  <c r="D43" i="40"/>
  <c r="G324" i="30"/>
  <c r="G185" i="30"/>
  <c r="G222" i="30" l="1"/>
  <c r="G472" i="30"/>
  <c r="G345" i="30"/>
  <c r="G423" i="30"/>
  <c r="G304" i="30"/>
  <c r="E23" i="35" l="1"/>
  <c r="E31" i="35"/>
  <c r="E126" i="35"/>
  <c r="E314" i="35" l="1"/>
  <c r="E288" i="35"/>
  <c r="G24" i="36" l="1"/>
  <c r="E108" i="35" l="1"/>
  <c r="E25" i="35"/>
  <c r="E290" i="35"/>
  <c r="E173" i="35" l="1"/>
  <c r="E53" i="35"/>
  <c r="G64" i="30" l="1"/>
  <c r="G69" i="30"/>
  <c r="G72" i="30" l="1"/>
  <c r="G66" i="30" l="1"/>
  <c r="G236" i="30" l="1"/>
  <c r="E115" i="33" l="1"/>
  <c r="E119" i="33" l="1"/>
  <c r="E120" i="33"/>
  <c r="E15" i="33"/>
  <c r="E16" i="33"/>
  <c r="E18" i="33"/>
  <c r="G288" i="30" l="1"/>
  <c r="G131" i="30" l="1"/>
  <c r="F31" i="37" l="1"/>
  <c r="G93" i="30" l="1"/>
  <c r="G275" i="30" l="1"/>
  <c r="G309" i="30" l="1"/>
  <c r="G39" i="30" l="1"/>
  <c r="G28" i="36"/>
  <c r="G29" i="36"/>
  <c r="G83" i="30" l="1"/>
  <c r="G411" i="30" l="1"/>
  <c r="E79" i="31" l="1"/>
  <c r="G335" i="30" l="1"/>
  <c r="E345" i="35" l="1"/>
  <c r="E191" i="35"/>
  <c r="E58" i="35"/>
  <c r="E140" i="33"/>
  <c r="E61" i="33"/>
  <c r="G50" i="30" l="1"/>
  <c r="G329" i="30" l="1"/>
  <c r="G322" i="30"/>
  <c r="G294" i="30"/>
  <c r="G427" i="30" l="1"/>
  <c r="G386" i="30" l="1"/>
  <c r="G478" i="30"/>
  <c r="G447" i="30"/>
  <c r="G460" i="30"/>
  <c r="G287" i="30"/>
  <c r="G387" i="30"/>
  <c r="G181" i="30"/>
  <c r="G100" i="30" l="1"/>
  <c r="H645" i="16" l="1"/>
  <c r="C332" i="16" l="1"/>
  <c r="G26" i="39" l="1"/>
  <c r="F26" i="39"/>
  <c r="H26" i="39"/>
  <c r="I25" i="39" l="1"/>
  <c r="G25" i="39"/>
  <c r="H25" i="39"/>
  <c r="G42" i="30" l="1"/>
  <c r="G326" i="30" l="1"/>
  <c r="E74" i="31" l="1"/>
  <c r="D74" i="31"/>
  <c r="G429" i="30" l="1"/>
  <c r="G344" i="30"/>
  <c r="G331" i="30" l="1"/>
  <c r="G105" i="36" l="1"/>
  <c r="E18" i="31" l="1"/>
  <c r="E45" i="31" l="1"/>
  <c r="E39" i="31"/>
  <c r="E29" i="31"/>
  <c r="E23" i="31"/>
  <c r="E15" i="31"/>
  <c r="E19" i="31"/>
  <c r="D79" i="31"/>
  <c r="C79" i="31"/>
  <c r="C18" i="31"/>
  <c r="D18" i="31"/>
  <c r="D80" i="31" l="1"/>
  <c r="C80" i="31"/>
  <c r="D81" i="31"/>
  <c r="C81" i="31"/>
  <c r="E20" i="35" l="1"/>
  <c r="K31" i="37"/>
  <c r="E109" i="35" l="1"/>
  <c r="E297" i="35" l="1"/>
  <c r="G30" i="36" l="1"/>
  <c r="E306" i="35" l="1"/>
  <c r="E36" i="35"/>
  <c r="E26" i="35" l="1"/>
  <c r="E110" i="35"/>
  <c r="F25" i="39"/>
  <c r="G138" i="30" l="1"/>
  <c r="G136" i="30" l="1"/>
  <c r="G174" i="30" l="1"/>
  <c r="G137" i="30"/>
  <c r="G49" i="30" l="1"/>
  <c r="G311" i="30" l="1"/>
  <c r="G132" i="30" l="1"/>
  <c r="G208" i="30"/>
  <c r="G262" i="30"/>
  <c r="E307" i="35" l="1"/>
  <c r="E115" i="35"/>
  <c r="E37" i="35"/>
  <c r="E38" i="35"/>
  <c r="E30" i="35" l="1"/>
  <c r="E52" i="35"/>
  <c r="E88" i="35"/>
  <c r="E60" i="35"/>
  <c r="E71" i="35"/>
  <c r="E42" i="35"/>
  <c r="E48" i="35"/>
  <c r="E33" i="35"/>
  <c r="E35" i="35"/>
  <c r="E39" i="35"/>
  <c r="E56" i="35"/>
  <c r="E317" i="35"/>
  <c r="E32" i="35" l="1"/>
  <c r="E125" i="35"/>
  <c r="E127" i="35"/>
  <c r="E34" i="35"/>
  <c r="G93" i="36" l="1"/>
  <c r="I10" i="30" l="1"/>
  <c r="J10" i="30"/>
  <c r="K10" i="30"/>
  <c r="M10" i="30"/>
  <c r="N10" i="30"/>
  <c r="O10" i="30"/>
  <c r="P10" i="30"/>
  <c r="Q10" i="30"/>
  <c r="I10" i="36"/>
  <c r="N10" i="36"/>
  <c r="N9" i="36"/>
  <c r="I9" i="36"/>
  <c r="Q9" i="30"/>
  <c r="P9" i="30"/>
  <c r="O9" i="30"/>
  <c r="N9" i="30"/>
  <c r="M9" i="30"/>
  <c r="K9" i="30"/>
  <c r="J9" i="30"/>
  <c r="I9" i="30"/>
  <c r="G375" i="30" l="1"/>
  <c r="G464" i="30"/>
  <c r="G440" i="30"/>
  <c r="G17" i="30" l="1"/>
  <c r="G84" i="36"/>
  <c r="G86" i="36" l="1"/>
  <c r="G108" i="30" l="1"/>
  <c r="G186" i="30"/>
  <c r="E30" i="37" l="1"/>
  <c r="E25" i="39"/>
  <c r="K25" i="39"/>
  <c r="L25" i="39"/>
  <c r="M25" i="39"/>
  <c r="D25" i="39"/>
  <c r="G31" i="36"/>
  <c r="G48" i="36" l="1"/>
  <c r="I90" i="37"/>
  <c r="I89" i="37"/>
  <c r="I88" i="37"/>
  <c r="E51" i="33" l="1"/>
  <c r="E154" i="33"/>
  <c r="E308" i="35" l="1"/>
  <c r="E114" i="35"/>
  <c r="G60" i="36"/>
  <c r="G21" i="36" l="1"/>
  <c r="E83" i="35" l="1"/>
  <c r="E351" i="35"/>
  <c r="E170" i="35"/>
  <c r="G26" i="36" l="1"/>
  <c r="E155" i="33"/>
  <c r="E35" i="33" l="1"/>
  <c r="E312" i="35"/>
  <c r="E120" i="35"/>
  <c r="E118" i="33" l="1"/>
  <c r="E17" i="33"/>
  <c r="G65" i="36"/>
  <c r="G67" i="36" l="1"/>
  <c r="G521" i="30" l="1"/>
  <c r="G258" i="30" l="1"/>
  <c r="G390" i="30" l="1"/>
  <c r="E343" i="35" l="1"/>
  <c r="E54" i="35"/>
  <c r="E174" i="35"/>
  <c r="E325" i="35" l="1"/>
  <c r="E132" i="35"/>
  <c r="E70" i="37" l="1"/>
  <c r="F70" i="37" l="1"/>
  <c r="H70" i="37" l="1"/>
  <c r="E135" i="35"/>
  <c r="E136" i="35"/>
  <c r="G70" i="37" l="1"/>
  <c r="D70" i="37"/>
  <c r="E326" i="35" l="1"/>
  <c r="E324" i="35"/>
  <c r="D69" i="37" l="1"/>
  <c r="K69" i="37"/>
  <c r="L69" i="37"/>
  <c r="M69" i="37"/>
  <c r="N69" i="37"/>
  <c r="O69" i="37"/>
  <c r="P69" i="37"/>
  <c r="Q69" i="37"/>
  <c r="R69" i="37"/>
  <c r="S69" i="37"/>
  <c r="K70" i="37"/>
  <c r="L70" i="37"/>
  <c r="M70" i="37"/>
  <c r="N70" i="37"/>
  <c r="O70" i="37"/>
  <c r="P70" i="37"/>
  <c r="R70" i="37"/>
  <c r="S70" i="37"/>
  <c r="E134" i="35" l="1"/>
  <c r="E131" i="35"/>
  <c r="E40" i="35"/>
  <c r="E45" i="35"/>
  <c r="E319" i="35"/>
  <c r="E321" i="35"/>
  <c r="G316" i="30" l="1"/>
  <c r="E327" i="35" l="1"/>
  <c r="E323" i="35"/>
  <c r="E43" i="35"/>
  <c r="E47" i="35"/>
  <c r="E41" i="35"/>
  <c r="E141" i="35"/>
  <c r="E138" i="35"/>
  <c r="E375" i="35" l="1"/>
  <c r="E200" i="35"/>
  <c r="E55" i="35"/>
  <c r="E302" i="35"/>
  <c r="E322" i="35"/>
  <c r="E356" i="35"/>
  <c r="E403" i="35"/>
  <c r="E333" i="35"/>
  <c r="E334" i="35"/>
  <c r="E354" i="35"/>
  <c r="E46" i="35"/>
  <c r="E146" i="35" l="1"/>
  <c r="E158" i="35"/>
  <c r="E145" i="35"/>
  <c r="E147" i="35"/>
  <c r="E233" i="35"/>
  <c r="E128" i="35"/>
  <c r="E44" i="35" l="1"/>
  <c r="I70" i="37" l="1"/>
  <c r="J70" i="37"/>
  <c r="E59" i="35"/>
  <c r="E69" i="37"/>
  <c r="G69" i="37"/>
  <c r="I69" i="37"/>
  <c r="H69" i="37"/>
  <c r="F69" i="37"/>
  <c r="C69" i="37"/>
  <c r="J69" i="37"/>
  <c r="E50" i="35"/>
  <c r="E51" i="35"/>
  <c r="E89" i="35" l="1"/>
  <c r="E90" i="35"/>
  <c r="E160" i="35"/>
  <c r="F30" i="37" l="1"/>
  <c r="V30" i="37"/>
  <c r="E61" i="35" l="1"/>
  <c r="E64" i="35"/>
  <c r="E63" i="35"/>
  <c r="E84" i="35" l="1"/>
  <c r="E82" i="35"/>
  <c r="E87" i="35"/>
  <c r="E79" i="35"/>
  <c r="E80" i="35"/>
  <c r="E78" i="35"/>
  <c r="E65" i="35"/>
  <c r="E72" i="35"/>
  <c r="E76" i="35"/>
  <c r="J13" i="35"/>
  <c r="I13" i="35"/>
  <c r="H13" i="35"/>
  <c r="G13" i="35"/>
  <c r="F13" i="35"/>
  <c r="E75" i="35"/>
  <c r="D15" i="35" l="1"/>
  <c r="D16" i="35"/>
  <c r="D22" i="35"/>
  <c r="D18" i="35"/>
  <c r="D17" i="35"/>
  <c r="D49" i="35"/>
  <c r="D19" i="35"/>
  <c r="D27" i="35"/>
  <c r="D57" i="35"/>
  <c r="D24" i="35"/>
  <c r="D21" i="35"/>
  <c r="D28" i="35"/>
  <c r="D29" i="35"/>
  <c r="D23" i="35"/>
  <c r="D31" i="35"/>
  <c r="D25" i="35"/>
  <c r="D53" i="35"/>
  <c r="D58" i="35"/>
  <c r="D20" i="35"/>
  <c r="D26" i="35"/>
  <c r="D37" i="35"/>
  <c r="D32" i="35"/>
  <c r="D34" i="35"/>
  <c r="D38" i="35"/>
  <c r="D52" i="35"/>
  <c r="D36" i="35"/>
  <c r="D35" i="35"/>
  <c r="D39" i="35"/>
  <c r="D40" i="35"/>
  <c r="D45" i="35"/>
  <c r="D43" i="35"/>
  <c r="D55" i="35"/>
  <c r="D50" i="35"/>
  <c r="D51" i="35"/>
  <c r="D56" i="35"/>
  <c r="D59" i="35"/>
  <c r="D44" i="35"/>
  <c r="D46" i="35"/>
  <c r="D61" i="35"/>
  <c r="D74" i="35"/>
  <c r="D60" i="35"/>
  <c r="D64" i="35"/>
  <c r="D63" i="35"/>
  <c r="D68" i="35"/>
  <c r="D41" i="35"/>
  <c r="D48" i="35"/>
  <c r="D47" i="35"/>
  <c r="D42" i="35"/>
  <c r="D67" i="35"/>
  <c r="D73" i="35"/>
  <c r="D71" i="35"/>
  <c r="D66" i="35"/>
  <c r="D30" i="35"/>
  <c r="D65" i="35"/>
  <c r="D69" i="35"/>
  <c r="D33" i="35"/>
  <c r="D70" i="35"/>
  <c r="D62" i="35"/>
  <c r="D72" i="35"/>
  <c r="D54" i="35"/>
  <c r="D14" i="35"/>
  <c r="E133" i="35"/>
  <c r="E374" i="35" l="1"/>
  <c r="E337" i="35"/>
  <c r="E206" i="35"/>
  <c r="E223" i="35"/>
  <c r="G56" i="36" l="1"/>
  <c r="G59" i="30" l="1"/>
  <c r="E315" i="35" l="1"/>
  <c r="E320" i="35"/>
  <c r="E383" i="35"/>
  <c r="E222" i="35"/>
  <c r="E402" i="35"/>
  <c r="E176" i="35"/>
  <c r="G445" i="30"/>
  <c r="E130" i="35"/>
  <c r="G457" i="30" l="1"/>
  <c r="G270" i="30" l="1"/>
  <c r="G54" i="30" l="1"/>
  <c r="G51" i="30" l="1"/>
  <c r="G133" i="30" l="1"/>
  <c r="H954" i="16" l="1"/>
  <c r="H898" i="16"/>
  <c r="C889" i="16"/>
  <c r="H830" i="16"/>
  <c r="C766" i="16"/>
  <c r="H92" i="16"/>
  <c r="C78" i="16"/>
  <c r="H25" i="16"/>
  <c r="C43" i="16"/>
  <c r="G119" i="30" l="1"/>
  <c r="G120" i="30" l="1"/>
  <c r="G40" i="30" l="1"/>
  <c r="C1013" i="16" l="1"/>
  <c r="C1010" i="16"/>
  <c r="H955" i="16"/>
  <c r="H953" i="16"/>
  <c r="C957" i="16"/>
  <c r="C956" i="16"/>
  <c r="H897" i="16"/>
  <c r="H896" i="16"/>
  <c r="C1261" i="16"/>
  <c r="C907" i="16"/>
  <c r="C890" i="16"/>
  <c r="H832" i="16"/>
  <c r="H833" i="16"/>
  <c r="C827" i="16"/>
  <c r="C848" i="16"/>
  <c r="C765" i="16"/>
  <c r="C764" i="16"/>
  <c r="C118" i="16"/>
  <c r="C105" i="16"/>
  <c r="H45" i="16"/>
  <c r="H26" i="16"/>
  <c r="C51" i="16"/>
  <c r="C23" i="16"/>
  <c r="H93" i="16"/>
  <c r="H85" i="16"/>
  <c r="D143" i="16"/>
  <c r="G59" i="36" l="1"/>
  <c r="G15" i="30" l="1"/>
  <c r="D39" i="31" l="1"/>
  <c r="E361" i="35"/>
  <c r="E186" i="35"/>
  <c r="E158" i="33"/>
  <c r="E84" i="33"/>
  <c r="C39" i="31"/>
  <c r="G16" i="30"/>
  <c r="G71" i="30" l="1"/>
  <c r="D45" i="31" l="1"/>
  <c r="C45" i="31"/>
  <c r="G76" i="30" l="1"/>
  <c r="G210" i="30" l="1"/>
  <c r="G84" i="30" l="1"/>
  <c r="H128" i="30" l="1"/>
  <c r="G128" i="30" l="1"/>
  <c r="G158" i="30"/>
  <c r="G112" i="30" l="1"/>
  <c r="G106" i="30" l="1"/>
  <c r="G22" i="30" l="1"/>
  <c r="G25" i="30" l="1"/>
  <c r="G31" i="30" l="1"/>
  <c r="G159" i="30" l="1"/>
  <c r="G152" i="30" l="1"/>
  <c r="G398" i="30"/>
  <c r="G116" i="30" l="1"/>
  <c r="G122" i="30" l="1"/>
  <c r="G191" i="30"/>
  <c r="E181" i="35" l="1"/>
  <c r="E161" i="33" l="1"/>
  <c r="E93" i="33"/>
  <c r="G280" i="30" l="1"/>
  <c r="G32" i="30" l="1"/>
  <c r="G154" i="30" l="1"/>
  <c r="E205" i="35" l="1"/>
  <c r="E234" i="35"/>
  <c r="E195" i="35" l="1"/>
  <c r="E331" i="35"/>
  <c r="E142" i="33"/>
  <c r="E69" i="33"/>
  <c r="E91" i="33"/>
  <c r="E145" i="33"/>
  <c r="E332" i="35"/>
  <c r="E347" i="35"/>
  <c r="E330" i="35"/>
  <c r="E310" i="35"/>
  <c r="E291" i="35"/>
  <c r="E179" i="35"/>
  <c r="E342" i="35"/>
  <c r="E329" i="35"/>
  <c r="E366" i="35"/>
  <c r="E365" i="35"/>
  <c r="E395" i="35"/>
  <c r="E236" i="35"/>
  <c r="E227" i="35"/>
  <c r="E189" i="35"/>
  <c r="E349" i="35"/>
  <c r="E180" i="35"/>
  <c r="E355" i="35"/>
  <c r="E313" i="35"/>
  <c r="E303" i="35"/>
  <c r="E293" i="35"/>
  <c r="E328" i="35"/>
  <c r="E381" i="35"/>
  <c r="E157" i="33"/>
  <c r="E81" i="33"/>
  <c r="G27" i="36" l="1"/>
  <c r="D19" i="31" l="1"/>
  <c r="C19" i="31"/>
  <c r="G65" i="30" l="1"/>
  <c r="G52" i="36" l="1"/>
  <c r="C1" i="36" l="1"/>
  <c r="C1" i="30"/>
  <c r="G357" i="30" l="1"/>
  <c r="G33" i="36" l="1"/>
  <c r="G41" i="36" l="1"/>
  <c r="G54" i="36" l="1"/>
  <c r="H114" i="30" l="1"/>
  <c r="G114" i="30"/>
  <c r="G90" i="30" l="1"/>
  <c r="G70" i="30"/>
  <c r="G85" i="30" l="1"/>
  <c r="H30" i="30" l="1"/>
  <c r="H35" i="30"/>
  <c r="G30" i="30" l="1"/>
  <c r="G21" i="30" l="1"/>
  <c r="H19" i="30"/>
  <c r="G18" i="30" l="1"/>
  <c r="G19" i="30" l="1"/>
  <c r="G228" i="30"/>
  <c r="G94" i="30" l="1"/>
  <c r="G432" i="30" l="1"/>
  <c r="G301" i="30" l="1"/>
  <c r="E304" i="35" l="1"/>
  <c r="E124" i="35" l="1"/>
  <c r="E198" i="35" l="1"/>
  <c r="G170" i="30" l="1"/>
  <c r="E401" i="35" l="1"/>
  <c r="E171" i="35"/>
  <c r="G337" i="30" l="1"/>
  <c r="G339" i="30"/>
  <c r="G313" i="30" l="1"/>
  <c r="G173" i="30" l="1"/>
  <c r="G424" i="30" l="1"/>
  <c r="G156" i="30" l="1"/>
  <c r="G372" i="30" l="1"/>
  <c r="G247" i="30" l="1"/>
  <c r="G68" i="30" l="1"/>
  <c r="G198" i="30" l="1"/>
  <c r="H129" i="30" l="1"/>
  <c r="G129" i="30"/>
  <c r="H126" i="30" l="1"/>
  <c r="G126" i="30" l="1"/>
  <c r="G449" i="30" l="1"/>
  <c r="H73" i="30" l="1"/>
  <c r="G73" i="30"/>
  <c r="G75" i="30" l="1"/>
  <c r="G77" i="30" l="1"/>
  <c r="G165" i="30" l="1"/>
  <c r="G111" i="30" l="1"/>
  <c r="G88" i="30" l="1"/>
  <c r="G206" i="30" l="1"/>
  <c r="G237" i="30" l="1"/>
  <c r="G195" i="30" l="1"/>
  <c r="G157" i="30" l="1"/>
  <c r="G415" i="30" l="1"/>
  <c r="G374" i="30" l="1"/>
  <c r="E149" i="35" l="1"/>
  <c r="I104" i="37" l="1"/>
  <c r="J104" i="37" s="1"/>
  <c r="I103" i="37"/>
  <c r="J103" i="37" s="1"/>
  <c r="I102" i="37"/>
  <c r="J102" i="37" s="1"/>
  <c r="I101" i="37"/>
  <c r="J101" i="37" s="1"/>
  <c r="I100" i="37"/>
  <c r="J100" i="37" s="1"/>
  <c r="I99" i="37"/>
  <c r="J99" i="37" s="1"/>
  <c r="I98" i="37"/>
  <c r="J98" i="37" s="1"/>
  <c r="I97" i="37"/>
  <c r="J97" i="37" s="1"/>
  <c r="I96" i="37"/>
  <c r="J96" i="37" s="1"/>
  <c r="I95" i="37"/>
  <c r="J95" i="37" s="1"/>
  <c r="I94" i="37"/>
  <c r="J94" i="37" s="1"/>
  <c r="I93" i="37"/>
  <c r="J93" i="37" s="1"/>
  <c r="I92" i="37"/>
  <c r="J92" i="37" s="1"/>
  <c r="I91" i="37"/>
  <c r="J91" i="37" s="1"/>
  <c r="J90" i="37"/>
  <c r="J89" i="37"/>
  <c r="J88" i="37"/>
  <c r="I87" i="37"/>
  <c r="J87" i="37" s="1"/>
  <c r="I86" i="37"/>
  <c r="J86" i="37" s="1"/>
  <c r="I85" i="37"/>
  <c r="J85" i="37" s="1"/>
  <c r="I84" i="37"/>
  <c r="J84" i="37" s="1"/>
  <c r="I83" i="37"/>
  <c r="J83" i="37" s="1"/>
  <c r="I82" i="37"/>
  <c r="J82" i="37" s="1"/>
  <c r="I81" i="37"/>
  <c r="J81" i="37" s="1"/>
  <c r="I80" i="37"/>
  <c r="J80" i="37" s="1"/>
  <c r="I105" i="37" l="1"/>
  <c r="C105" i="37"/>
  <c r="J105" i="37" l="1"/>
  <c r="K30" i="37"/>
  <c r="G30" i="37"/>
  <c r="D30" i="37" l="1"/>
  <c r="J30" i="37"/>
  <c r="I30" i="37"/>
  <c r="G353" i="30" l="1"/>
  <c r="G58" i="30" l="1"/>
  <c r="H30" i="37" l="1"/>
  <c r="U30" i="37"/>
  <c r="M30" i="37"/>
  <c r="N30" i="37"/>
  <c r="T30" i="37"/>
  <c r="R30" i="37"/>
  <c r="Q30" i="37"/>
  <c r="P30" i="37"/>
  <c r="O30" i="37"/>
  <c r="L30" i="37"/>
  <c r="S30" i="37"/>
  <c r="C30" i="37"/>
  <c r="E219" i="35" l="1"/>
  <c r="E220" i="35"/>
  <c r="E196" i="35"/>
  <c r="E221" i="35"/>
  <c r="E163" i="35"/>
  <c r="E161" i="35"/>
  <c r="G62" i="30" l="1"/>
  <c r="E152" i="33" l="1"/>
  <c r="E163" i="33" l="1"/>
  <c r="E162" i="33"/>
  <c r="E153" i="33"/>
  <c r="E149" i="33"/>
  <c r="E146" i="33"/>
  <c r="E144" i="33"/>
  <c r="E141" i="33" l="1"/>
  <c r="E132" i="33"/>
  <c r="E136" i="33"/>
  <c r="E135" i="33"/>
  <c r="E131" i="33"/>
  <c r="E133" i="33"/>
  <c r="E134" i="33"/>
  <c r="E128" i="33"/>
  <c r="E124" i="33"/>
  <c r="E123" i="33"/>
  <c r="E129" i="33"/>
  <c r="E127" i="33"/>
  <c r="E126" i="33" l="1"/>
  <c r="E122" i="33"/>
  <c r="E121" i="33"/>
  <c r="E117" i="33"/>
  <c r="E116" i="33"/>
  <c r="E114" i="33" l="1"/>
  <c r="E55" i="33" l="1"/>
  <c r="E62" i="33"/>
  <c r="E97" i="33"/>
  <c r="E95" i="33"/>
  <c r="E89" i="33"/>
  <c r="E87" i="33"/>
  <c r="E85" i="33"/>
  <c r="E79" i="33"/>
  <c r="E77" i="33"/>
  <c r="E75" i="33"/>
  <c r="E72" i="33"/>
  <c r="E66" i="33"/>
  <c r="E65" i="33"/>
  <c r="E60" i="33"/>
  <c r="E45" i="33"/>
  <c r="E57" i="33"/>
  <c r="E41" i="33"/>
  <c r="E49" i="33"/>
  <c r="E54" i="33"/>
  <c r="E42" i="33"/>
  <c r="E37" i="33"/>
  <c r="E56" i="33"/>
  <c r="E53" i="33"/>
  <c r="E48" i="33"/>
  <c r="E47" i="33"/>
  <c r="E32" i="33"/>
  <c r="E33" i="33"/>
  <c r="E28" i="33"/>
  <c r="E27" i="33"/>
  <c r="E20" i="33"/>
  <c r="E23" i="33"/>
  <c r="E21" i="33"/>
  <c r="E24" i="33"/>
  <c r="E40" i="33"/>
  <c r="E38" i="33"/>
  <c r="E43" i="33"/>
  <c r="E34" i="33" l="1"/>
  <c r="E31" i="33"/>
  <c r="E26" i="33"/>
  <c r="E25" i="33"/>
  <c r="E22" i="33"/>
  <c r="E19" i="33"/>
  <c r="E14" i="33" l="1"/>
  <c r="G488" i="30" l="1"/>
  <c r="E13" i="33"/>
  <c r="E197" i="35" l="1"/>
  <c r="G60" i="30" l="1"/>
  <c r="E112" i="35" l="1"/>
  <c r="E238" i="35"/>
  <c r="E231" i="35"/>
  <c r="E235" i="35"/>
  <c r="E228" i="35"/>
  <c r="E224" i="35"/>
  <c r="E211" i="35"/>
  <c r="E210" i="35"/>
  <c r="E209" i="35"/>
  <c r="E208" i="35"/>
  <c r="E152" i="35" l="1"/>
  <c r="E207" i="35"/>
  <c r="E204" i="35"/>
  <c r="E199" i="35"/>
  <c r="E190" i="35"/>
  <c r="E187" i="35"/>
  <c r="E178" i="35"/>
  <c r="E192" i="35"/>
  <c r="E175" i="35"/>
  <c r="E172" i="35"/>
  <c r="E166" i="35"/>
  <c r="E168" i="35"/>
  <c r="E167" i="35"/>
  <c r="E165" i="35"/>
  <c r="E164" i="35"/>
  <c r="E159" i="35"/>
  <c r="E157" i="35"/>
  <c r="E156" i="35"/>
  <c r="E155" i="35"/>
  <c r="E150" i="35"/>
  <c r="E151" i="35"/>
  <c r="E137" i="35"/>
  <c r="E121" i="35"/>
  <c r="E148" i="35" l="1"/>
  <c r="E143" i="35"/>
  <c r="E123" i="35"/>
  <c r="E129" i="35"/>
  <c r="E122" i="35"/>
  <c r="E119" i="35"/>
  <c r="E117" i="35"/>
  <c r="G40" i="36" l="1"/>
  <c r="G145" i="30" l="1"/>
  <c r="G32" i="36"/>
  <c r="G42" i="36" l="1"/>
  <c r="G43" i="36"/>
  <c r="G44" i="36" l="1"/>
  <c r="G95" i="36" l="1"/>
  <c r="G364" i="30" l="1"/>
  <c r="G57" i="30"/>
  <c r="G45" i="36"/>
  <c r="G46" i="36" l="1"/>
  <c r="G51" i="36" l="1"/>
  <c r="G53" i="36" l="1"/>
  <c r="G55" i="36" l="1"/>
  <c r="G34" i="30" l="1"/>
  <c r="G104" i="30" l="1"/>
  <c r="G64" i="36" l="1"/>
  <c r="G63" i="36" l="1"/>
  <c r="J87" i="36"/>
  <c r="G87" i="36"/>
  <c r="J9" i="36" l="1"/>
  <c r="J10" i="36"/>
  <c r="G36" i="30"/>
  <c r="K87" i="36" l="1"/>
  <c r="K10" i="36" l="1"/>
  <c r="K9" i="36"/>
  <c r="G35" i="36"/>
  <c r="G38" i="36" l="1"/>
  <c r="G39" i="36" l="1"/>
  <c r="G70" i="36" l="1"/>
  <c r="G69" i="36"/>
  <c r="G74" i="36"/>
  <c r="G79" i="36"/>
  <c r="G73" i="36" l="1"/>
  <c r="G77" i="36"/>
  <c r="G85" i="36"/>
  <c r="G71" i="36" l="1"/>
  <c r="G108" i="36"/>
  <c r="G98" i="36" l="1"/>
  <c r="G100" i="36" l="1"/>
  <c r="G99" i="36" l="1"/>
  <c r="K11" i="36"/>
  <c r="J11" i="36"/>
  <c r="D43" i="31" l="1"/>
  <c r="D15" i="31"/>
  <c r="C43" i="31"/>
  <c r="C15" i="31"/>
  <c r="D58" i="31"/>
  <c r="C58" i="31"/>
  <c r="D40" i="31"/>
  <c r="C40" i="31"/>
  <c r="D17" i="31"/>
  <c r="C17" i="31"/>
  <c r="G356" i="30" l="1"/>
  <c r="G489" i="30" l="1"/>
  <c r="G371" i="30" l="1"/>
  <c r="Q87" i="36" l="1"/>
  <c r="P87" i="36"/>
  <c r="M87" i="36"/>
  <c r="L87" i="36"/>
  <c r="L10" i="36" l="1"/>
  <c r="L9" i="36"/>
  <c r="G320" i="30"/>
  <c r="G360" i="30"/>
  <c r="G343" i="30" l="1"/>
  <c r="G442" i="30"/>
  <c r="G454" i="30"/>
  <c r="G74" i="30" l="1"/>
  <c r="G14" i="30" l="1"/>
  <c r="H13" i="30"/>
  <c r="G13" i="30"/>
  <c r="H43" i="30" l="1"/>
  <c r="G43" i="30"/>
  <c r="H41" i="30"/>
  <c r="G41" i="30" l="1"/>
  <c r="H46" i="30"/>
  <c r="H44" i="30"/>
  <c r="G46" i="30" l="1"/>
  <c r="G44" i="30"/>
  <c r="H24" i="30"/>
  <c r="G24" i="30"/>
  <c r="H26" i="30"/>
  <c r="G26" i="30"/>
  <c r="H85" i="30"/>
  <c r="H56" i="30"/>
  <c r="G56" i="30" l="1"/>
  <c r="H29" i="30"/>
  <c r="G29" i="30"/>
  <c r="G35" i="30"/>
  <c r="G38" i="30"/>
  <c r="G52" i="30"/>
  <c r="G45" i="30"/>
  <c r="G147" i="30" l="1"/>
  <c r="G99" i="30"/>
  <c r="G47" i="30"/>
  <c r="H45" i="30" l="1"/>
  <c r="G37" i="30"/>
  <c r="G87" i="30" l="1"/>
  <c r="G571" i="30"/>
  <c r="G105" i="30"/>
  <c r="G61" i="30"/>
  <c r="G67" i="30"/>
  <c r="G53" i="30"/>
  <c r="G109" i="30"/>
  <c r="G92" i="30"/>
  <c r="G121" i="30"/>
  <c r="H99" i="30"/>
  <c r="G144" i="30"/>
  <c r="G151" i="30"/>
  <c r="G63" i="30" l="1"/>
  <c r="G117" i="30"/>
  <c r="G127" i="30"/>
  <c r="G55" i="30"/>
  <c r="G168" i="30"/>
  <c r="G149" i="30"/>
  <c r="H78" i="30"/>
  <c r="G78" i="30"/>
  <c r="H149" i="30"/>
  <c r="H89" i="30"/>
  <c r="G89" i="30"/>
  <c r="G81" i="30"/>
  <c r="G171" i="30"/>
  <c r="G97" i="30"/>
  <c r="G95" i="30"/>
  <c r="G179" i="30"/>
  <c r="G146" i="30"/>
  <c r="G196" i="30"/>
  <c r="G214" i="30"/>
  <c r="H142" i="30"/>
  <c r="G142" i="30"/>
  <c r="G123" i="30"/>
  <c r="G209" i="30" l="1"/>
  <c r="G160" i="30"/>
  <c r="G238" i="30"/>
  <c r="G265" i="30"/>
  <c r="G218" i="30"/>
  <c r="G201" i="30"/>
  <c r="G240" i="30"/>
  <c r="G212" i="30"/>
  <c r="G231" i="30"/>
  <c r="G241" i="30"/>
  <c r="G250" i="30"/>
  <c r="G239" i="30"/>
  <c r="G245" i="30"/>
  <c r="G276" i="30"/>
  <c r="G263" i="30"/>
  <c r="G269" i="30"/>
  <c r="G266" i="30"/>
  <c r="H259" i="30"/>
  <c r="G259" i="30"/>
  <c r="H255" i="30"/>
  <c r="G255" i="30"/>
  <c r="H256" i="30"/>
  <c r="G256" i="30"/>
  <c r="G232" i="30"/>
  <c r="G261" i="30"/>
  <c r="G306" i="30"/>
  <c r="G292" i="30" l="1"/>
  <c r="G363" i="30"/>
  <c r="H327" i="30"/>
  <c r="G327" i="30"/>
  <c r="G336" i="30"/>
  <c r="G338" i="30"/>
  <c r="G346" i="30"/>
  <c r="H346" i="30"/>
  <c r="H354" i="30"/>
  <c r="G354" i="30"/>
  <c r="G366" i="30"/>
  <c r="G373" i="30"/>
  <c r="G378" i="30"/>
  <c r="G403" i="30"/>
  <c r="G434" i="30"/>
  <c r="G416" i="30"/>
  <c r="G405" i="30"/>
  <c r="G441" i="30" l="1"/>
  <c r="G444" i="30"/>
  <c r="G458" i="30"/>
  <c r="G494" i="30"/>
  <c r="G470" i="30"/>
  <c r="G482" i="30"/>
  <c r="G492" i="30"/>
  <c r="G493" i="30"/>
  <c r="G498" i="30"/>
  <c r="G504" i="30"/>
  <c r="G507" i="30"/>
  <c r="G505" i="30"/>
  <c r="G500" i="30"/>
  <c r="G510" i="30"/>
  <c r="G517" i="30"/>
  <c r="Q34" i="36" l="1"/>
  <c r="P34" i="36"/>
  <c r="O34" i="36"/>
  <c r="M34" i="36"/>
  <c r="N11" i="36"/>
  <c r="L11" i="36"/>
  <c r="I11" i="36"/>
  <c r="X6" i="36"/>
  <c r="X14" i="36" s="1"/>
  <c r="X57" i="36" l="1"/>
  <c r="X16" i="36"/>
  <c r="X22" i="36"/>
  <c r="X107" i="36"/>
  <c r="X15" i="36"/>
  <c r="X80" i="36"/>
  <c r="X106" i="36"/>
  <c r="X88" i="36"/>
  <c r="X89" i="36"/>
  <c r="X13" i="36"/>
  <c r="X83" i="36"/>
  <c r="X104" i="36"/>
  <c r="X23" i="36"/>
  <c r="X18" i="36"/>
  <c r="X20" i="36"/>
  <c r="X17" i="36"/>
  <c r="X76" i="36"/>
  <c r="X25" i="36"/>
  <c r="X58" i="36"/>
  <c r="X19" i="36"/>
  <c r="X29" i="36"/>
  <c r="X28" i="36"/>
  <c r="X24" i="36"/>
  <c r="O11" i="36"/>
  <c r="O9" i="36"/>
  <c r="O10" i="36"/>
  <c r="P11" i="36"/>
  <c r="P9" i="36"/>
  <c r="P10" i="36"/>
  <c r="Q11" i="36"/>
  <c r="Q10" i="36"/>
  <c r="Q9" i="36"/>
  <c r="M11" i="36"/>
  <c r="M10" i="36"/>
  <c r="M9" i="36"/>
  <c r="X105" i="36"/>
  <c r="X30" i="36"/>
  <c r="X31" i="36"/>
  <c r="X84" i="36"/>
  <c r="X93" i="36"/>
  <c r="X48" i="36"/>
  <c r="X21" i="36"/>
  <c r="X60" i="36"/>
  <c r="X65" i="36"/>
  <c r="X26" i="36"/>
  <c r="X56" i="36"/>
  <c r="X67" i="36"/>
  <c r="X59" i="36"/>
  <c r="X86" i="36"/>
  <c r="X52" i="36"/>
  <c r="X27" i="36"/>
  <c r="X33" i="36"/>
  <c r="X53" i="36"/>
  <c r="X54" i="36"/>
  <c r="X64" i="36"/>
  <c r="X50" i="36"/>
  <c r="X40" i="36"/>
  <c r="X43" i="36"/>
  <c r="X102" i="36"/>
  <c r="X87" i="36"/>
  <c r="X90" i="36"/>
  <c r="X101" i="36"/>
  <c r="X94" i="36"/>
  <c r="X97" i="36"/>
  <c r="X91" i="36"/>
  <c r="X92" i="36"/>
  <c r="X81" i="36"/>
  <c r="X82" i="36"/>
  <c r="X96" i="36"/>
  <c r="X78" i="36"/>
  <c r="X103" i="36"/>
  <c r="X34" i="36"/>
  <c r="X71" i="36"/>
  <c r="X38" i="36"/>
  <c r="X49" i="36"/>
  <c r="X62" i="36"/>
  <c r="X35" i="36"/>
  <c r="X69" i="36"/>
  <c r="X75" i="36"/>
  <c r="X46" i="36"/>
  <c r="X41" i="36"/>
  <c r="X68" i="36"/>
  <c r="X44" i="36"/>
  <c r="X55" i="36"/>
  <c r="X72" i="36"/>
  <c r="X77" i="36"/>
  <c r="X95" i="36"/>
  <c r="X98" i="36"/>
  <c r="X100" i="36"/>
  <c r="X45" i="36"/>
  <c r="X51" i="36"/>
  <c r="X63" i="36"/>
  <c r="X36" i="36"/>
  <c r="X39" i="36"/>
  <c r="X32" i="36"/>
  <c r="X79" i="36"/>
  <c r="X47" i="36"/>
  <c r="X42" i="36"/>
  <c r="X61" i="36"/>
  <c r="X70" i="36"/>
  <c r="X74" i="36"/>
  <c r="X37" i="36"/>
  <c r="X66" i="36"/>
  <c r="X73" i="36"/>
  <c r="X85" i="36"/>
  <c r="X108" i="36"/>
  <c r="X99" i="36"/>
  <c r="F22" i="36" l="1"/>
  <c r="F14" i="36"/>
  <c r="F80" i="36"/>
  <c r="F57" i="36"/>
  <c r="F16" i="36"/>
  <c r="F83" i="36"/>
  <c r="F88" i="36"/>
  <c r="F89" i="36"/>
  <c r="F13" i="36"/>
  <c r="F104" i="36"/>
  <c r="F15" i="36"/>
  <c r="F18" i="36"/>
  <c r="F23" i="36"/>
  <c r="F17" i="36"/>
  <c r="F20" i="36"/>
  <c r="F19" i="36"/>
  <c r="F76" i="36"/>
  <c r="F25" i="36"/>
  <c r="F58" i="36"/>
  <c r="F28" i="36"/>
  <c r="F84" i="36"/>
  <c r="F95" i="36"/>
  <c r="F87" i="36"/>
  <c r="F37" i="36"/>
  <c r="F97" i="36"/>
  <c r="F73" i="36"/>
  <c r="F82" i="36"/>
  <c r="F27" i="36"/>
  <c r="F43" i="36"/>
  <c r="F55" i="36"/>
  <c r="F66" i="36"/>
  <c r="F71" i="36"/>
  <c r="F74" i="36"/>
  <c r="F49" i="36"/>
  <c r="F81" i="36"/>
  <c r="F94" i="36"/>
  <c r="F102" i="36"/>
  <c r="F29" i="36"/>
  <c r="F48" i="36"/>
  <c r="F30" i="36"/>
  <c r="F103" i="36"/>
  <c r="F38" i="36"/>
  <c r="F79" i="36"/>
  <c r="F99" i="36"/>
  <c r="F100" i="36"/>
  <c r="F59" i="36"/>
  <c r="F26" i="36"/>
  <c r="F68" i="36"/>
  <c r="F85" i="36"/>
  <c r="F62" i="36"/>
  <c r="F69" i="36"/>
  <c r="F52" i="36"/>
  <c r="F21" i="36"/>
  <c r="F31" i="36"/>
  <c r="F70" i="36"/>
  <c r="F51" i="36"/>
  <c r="F75" i="36"/>
  <c r="F46" i="36"/>
  <c r="F44" i="36"/>
  <c r="F96" i="36"/>
  <c r="F91" i="36"/>
  <c r="F90" i="36"/>
  <c r="F12" i="36"/>
  <c r="F86" i="36"/>
  <c r="F65" i="36"/>
  <c r="F60" i="36"/>
  <c r="F24" i="36"/>
  <c r="F53" i="36"/>
  <c r="F32" i="36"/>
  <c r="F63" i="36"/>
  <c r="F35" i="36"/>
  <c r="F45" i="36"/>
  <c r="F78" i="36"/>
  <c r="F92" i="36"/>
  <c r="F101" i="36"/>
  <c r="F64" i="36"/>
  <c r="F56" i="36"/>
  <c r="F67" i="36"/>
  <c r="F47" i="36"/>
  <c r="F77" i="36"/>
  <c r="F42" i="36"/>
  <c r="F36" i="36"/>
  <c r="F34" i="36"/>
  <c r="F41" i="36"/>
  <c r="F54" i="36"/>
  <c r="F50" i="36"/>
  <c r="F72" i="36"/>
  <c r="F39" i="36"/>
  <c r="F98" i="36"/>
  <c r="F61" i="36"/>
  <c r="F40" i="36"/>
  <c r="F33" i="36"/>
  <c r="F93" i="36"/>
  <c r="K11" i="33"/>
  <c r="J11" i="33"/>
  <c r="I11" i="33"/>
  <c r="G479" i="30" l="1"/>
  <c r="G446" i="30"/>
  <c r="G334" i="30"/>
  <c r="G267" i="30"/>
  <c r="G563" i="30"/>
  <c r="G538" i="30"/>
  <c r="D136" i="31" l="1"/>
  <c r="C136" i="31"/>
  <c r="D135" i="31"/>
  <c r="C135" i="31"/>
  <c r="D134" i="31"/>
  <c r="C134" i="31"/>
  <c r="D133" i="31"/>
  <c r="C133" i="31"/>
  <c r="D132" i="31"/>
  <c r="C132" i="31"/>
  <c r="D131" i="31"/>
  <c r="C131" i="31"/>
  <c r="D130" i="31"/>
  <c r="C130" i="31"/>
  <c r="D129" i="31"/>
  <c r="C129" i="31"/>
  <c r="D126" i="31"/>
  <c r="C126" i="31"/>
  <c r="D124" i="31"/>
  <c r="C124" i="31"/>
  <c r="D122" i="31"/>
  <c r="C122" i="31"/>
  <c r="D116" i="31"/>
  <c r="C116" i="31"/>
  <c r="D113" i="31"/>
  <c r="C113" i="31"/>
  <c r="D110" i="31"/>
  <c r="C110" i="31"/>
  <c r="D106" i="31"/>
  <c r="C106" i="31"/>
  <c r="D107" i="31"/>
  <c r="C107" i="31"/>
  <c r="D108" i="31"/>
  <c r="C108" i="31"/>
  <c r="D105" i="31"/>
  <c r="C105" i="31"/>
  <c r="D104" i="31"/>
  <c r="C104" i="31"/>
  <c r="D101" i="31"/>
  <c r="C101" i="31"/>
  <c r="D103" i="31"/>
  <c r="C103" i="31"/>
  <c r="D102" i="31"/>
  <c r="C102" i="31"/>
  <c r="D100" i="31"/>
  <c r="C100" i="31"/>
  <c r="D99" i="31"/>
  <c r="C99" i="31"/>
  <c r="D98" i="31"/>
  <c r="C98" i="31"/>
  <c r="D95" i="31"/>
  <c r="C95" i="31"/>
  <c r="D96" i="31"/>
  <c r="C96" i="31"/>
  <c r="D93" i="31"/>
  <c r="C93" i="31"/>
  <c r="D94" i="31"/>
  <c r="C94" i="31"/>
  <c r="D87" i="31"/>
  <c r="C87" i="31"/>
  <c r="D89" i="31"/>
  <c r="C89" i="31"/>
  <c r="D90" i="31"/>
  <c r="C90" i="31"/>
  <c r="D84" i="31"/>
  <c r="C84" i="31"/>
  <c r="D82" i="31"/>
  <c r="C82" i="31"/>
  <c r="D73" i="31"/>
  <c r="C73" i="31"/>
  <c r="D72" i="31"/>
  <c r="C72" i="31"/>
  <c r="D68" i="31"/>
  <c r="C68" i="31"/>
  <c r="D67" i="31"/>
  <c r="C67" i="31"/>
  <c r="D66" i="31"/>
  <c r="C66" i="31"/>
  <c r="D64" i="31"/>
  <c r="C64" i="31"/>
  <c r="D63" i="31"/>
  <c r="C63" i="31"/>
  <c r="D61" i="31"/>
  <c r="C61" i="31"/>
  <c r="D62" i="31"/>
  <c r="C62" i="31"/>
  <c r="D60" i="31"/>
  <c r="C60" i="31"/>
  <c r="D55" i="31"/>
  <c r="C55" i="31"/>
  <c r="D57" i="31"/>
  <c r="C57" i="31"/>
  <c r="D53" i="31"/>
  <c r="C53" i="31"/>
  <c r="D51" i="31"/>
  <c r="C51" i="31"/>
  <c r="D50" i="31"/>
  <c r="C50" i="31"/>
  <c r="D48" i="31"/>
  <c r="C48" i="31"/>
  <c r="D47" i="31"/>
  <c r="C47" i="31"/>
  <c r="D46" i="31"/>
  <c r="C46" i="31"/>
  <c r="D44" i="31"/>
  <c r="C44" i="31"/>
  <c r="D42" i="31"/>
  <c r="C42" i="31"/>
  <c r="D41" i="31"/>
  <c r="C41" i="31"/>
  <c r="D38" i="31"/>
  <c r="C38" i="31"/>
  <c r="D36" i="31"/>
  <c r="C36" i="31"/>
  <c r="D33" i="31"/>
  <c r="C33" i="31"/>
  <c r="D35" i="31"/>
  <c r="C35" i="31"/>
  <c r="D34" i="31"/>
  <c r="C34" i="31"/>
  <c r="D31" i="31"/>
  <c r="C31" i="31"/>
  <c r="D32" i="31"/>
  <c r="C32" i="31"/>
  <c r="D29" i="31"/>
  <c r="C29" i="31"/>
  <c r="D30" i="31"/>
  <c r="C30" i="31"/>
  <c r="D28" i="31"/>
  <c r="C28" i="31"/>
  <c r="D27" i="31"/>
  <c r="C27" i="31"/>
  <c r="D26" i="31"/>
  <c r="C26" i="31"/>
  <c r="D25" i="31"/>
  <c r="C25" i="31"/>
  <c r="D24" i="31"/>
  <c r="C24" i="31"/>
  <c r="D23" i="31"/>
  <c r="C23" i="31"/>
  <c r="D16" i="31"/>
  <c r="C16" i="31"/>
  <c r="C11" i="31"/>
  <c r="AK10" i="31"/>
  <c r="AJ10" i="31"/>
  <c r="AI10" i="31"/>
  <c r="AH10" i="31"/>
  <c r="AG10" i="31"/>
  <c r="AF10" i="31"/>
  <c r="AE10" i="31"/>
  <c r="AD10" i="31"/>
  <c r="AC10" i="31"/>
  <c r="AB10" i="31"/>
  <c r="AA10" i="31"/>
  <c r="Z10" i="31"/>
  <c r="Y10" i="31"/>
  <c r="X10" i="31"/>
  <c r="W10" i="31"/>
  <c r="V10" i="31"/>
  <c r="U10" i="31"/>
  <c r="T10" i="31"/>
  <c r="S10" i="31"/>
  <c r="R10" i="31"/>
  <c r="Q10" i="31"/>
  <c r="P10" i="31"/>
  <c r="O10" i="31"/>
  <c r="N10" i="31"/>
  <c r="M10" i="31"/>
  <c r="L10" i="31"/>
  <c r="K10" i="31"/>
  <c r="J10" i="31"/>
  <c r="I10" i="31"/>
  <c r="H10" i="31"/>
  <c r="G10" i="31"/>
  <c r="F10" i="31"/>
  <c r="I1326" i="16"/>
  <c r="D1326" i="16"/>
  <c r="I1274" i="16"/>
  <c r="J285" i="35"/>
  <c r="I285" i="35"/>
  <c r="H285" i="35"/>
  <c r="G285" i="35"/>
  <c r="F285" i="35"/>
  <c r="G169" i="35"/>
  <c r="G102" i="35" s="1"/>
  <c r="L102" i="35"/>
  <c r="K102" i="35"/>
  <c r="J102" i="35"/>
  <c r="I102" i="35"/>
  <c r="H102" i="35"/>
  <c r="F102" i="35"/>
  <c r="I112" i="33"/>
  <c r="H112" i="33"/>
  <c r="G112" i="33"/>
  <c r="F112" i="33"/>
  <c r="H11" i="33"/>
  <c r="G11" i="33"/>
  <c r="F11" i="33"/>
  <c r="P572" i="30"/>
  <c r="G569" i="30"/>
  <c r="G557" i="30"/>
  <c r="G541" i="30"/>
  <c r="L285" i="30"/>
  <c r="O11" i="30"/>
  <c r="I11" i="30"/>
  <c r="Y6" i="30"/>
  <c r="D294" i="35" l="1"/>
  <c r="D105" i="35"/>
  <c r="D292" i="35"/>
  <c r="D287" i="35"/>
  <c r="D139" i="35"/>
  <c r="D107" i="35"/>
  <c r="Y544" i="30"/>
  <c r="Y543" i="30"/>
  <c r="Y553" i="30"/>
  <c r="Y554" i="30"/>
  <c r="Y433" i="30"/>
  <c r="Y542" i="30"/>
  <c r="Y23" i="30"/>
  <c r="Y497" i="30"/>
  <c r="D150" i="33"/>
  <c r="D36" i="33"/>
  <c r="D106" i="35"/>
  <c r="D184" i="35"/>
  <c r="D104" i="35"/>
  <c r="D295" i="35"/>
  <c r="D296" i="35"/>
  <c r="D369" i="35"/>
  <c r="D299" i="35"/>
  <c r="D113" i="35"/>
  <c r="D58" i="33"/>
  <c r="D143" i="33"/>
  <c r="D165" i="33"/>
  <c r="D151" i="33"/>
  <c r="D64" i="33"/>
  <c r="D50" i="33"/>
  <c r="D82" i="33"/>
  <c r="D289" i="35"/>
  <c r="D368" i="35"/>
  <c r="D305" i="35"/>
  <c r="D140" i="35"/>
  <c r="D118" i="35"/>
  <c r="D229" i="35"/>
  <c r="Y200" i="30"/>
  <c r="Y193" i="30"/>
  <c r="D301" i="35"/>
  <c r="D298" i="35"/>
  <c r="D116" i="35"/>
  <c r="D111" i="35"/>
  <c r="Y213" i="30"/>
  <c r="Y552" i="30"/>
  <c r="Y501" i="30"/>
  <c r="Y481" i="30"/>
  <c r="Y499" i="30"/>
  <c r="Y180" i="30"/>
  <c r="Y319" i="30"/>
  <c r="Y28" i="30"/>
  <c r="Y184" i="30"/>
  <c r="Y412" i="30"/>
  <c r="Y136" i="30"/>
  <c r="Y153" i="30"/>
  <c r="Y289" i="30"/>
  <c r="Y222" i="30"/>
  <c r="Y135" i="30"/>
  <c r="Y324" i="30"/>
  <c r="Y472" i="30"/>
  <c r="Y304" i="30"/>
  <c r="Y185" i="30"/>
  <c r="Y423" i="30"/>
  <c r="Y345" i="30"/>
  <c r="Y64" i="30"/>
  <c r="Y27" i="30"/>
  <c r="D126" i="35"/>
  <c r="D288" i="35"/>
  <c r="D314" i="35"/>
  <c r="D108" i="35"/>
  <c r="D290" i="35"/>
  <c r="D173" i="35"/>
  <c r="Y72" i="30"/>
  <c r="Y69" i="30"/>
  <c r="Y236" i="30"/>
  <c r="D119" i="33"/>
  <c r="D115" i="33"/>
  <c r="D120" i="33"/>
  <c r="D16" i="33"/>
  <c r="D18" i="33"/>
  <c r="D15" i="33"/>
  <c r="Y96" i="30"/>
  <c r="Y288" i="30"/>
  <c r="Y275" i="30"/>
  <c r="Y93" i="30"/>
  <c r="Y322" i="30"/>
  <c r="Y309" i="30"/>
  <c r="Y411" i="30"/>
  <c r="Y39" i="30"/>
  <c r="Y335" i="30"/>
  <c r="Y167" i="30"/>
  <c r="D345" i="35"/>
  <c r="D191" i="35"/>
  <c r="D140" i="33"/>
  <c r="D61" i="33"/>
  <c r="Y50" i="30"/>
  <c r="Y83" i="30"/>
  <c r="Y427" i="30"/>
  <c r="Y478" i="30"/>
  <c r="Y329" i="30"/>
  <c r="Y287" i="30"/>
  <c r="Y386" i="30"/>
  <c r="Y294" i="30"/>
  <c r="Y460" i="30"/>
  <c r="Y447" i="30"/>
  <c r="Y181" i="30"/>
  <c r="Y387" i="30"/>
  <c r="Y42" i="30"/>
  <c r="Y100" i="30"/>
  <c r="Y429" i="30"/>
  <c r="Y326" i="30"/>
  <c r="L10" i="30"/>
  <c r="L9" i="30"/>
  <c r="Y331" i="30"/>
  <c r="Y344" i="30"/>
  <c r="Y174" i="30"/>
  <c r="Y20" i="30"/>
  <c r="D109" i="35"/>
  <c r="D297" i="35"/>
  <c r="D306" i="35"/>
  <c r="D110" i="35"/>
  <c r="Y33" i="30"/>
  <c r="Y137" i="30"/>
  <c r="Y311" i="30"/>
  <c r="Y49" i="30"/>
  <c r="Y208" i="30"/>
  <c r="Y132" i="30"/>
  <c r="D307" i="35"/>
  <c r="D115" i="35"/>
  <c r="Y375" i="30"/>
  <c r="Y262" i="30"/>
  <c r="D317" i="35"/>
  <c r="D125" i="35"/>
  <c r="D127" i="35"/>
  <c r="Y440" i="30"/>
  <c r="Y464" i="30"/>
  <c r="Y186" i="30"/>
  <c r="Y108" i="30"/>
  <c r="D51" i="33"/>
  <c r="D154" i="33"/>
  <c r="D308" i="35"/>
  <c r="D114" i="35"/>
  <c r="D351" i="35"/>
  <c r="D170" i="35"/>
  <c r="D155" i="33"/>
  <c r="D35" i="33"/>
  <c r="D312" i="35"/>
  <c r="D120" i="35"/>
  <c r="D118" i="33"/>
  <c r="D17" i="33"/>
  <c r="Y521" i="30"/>
  <c r="Y390" i="30"/>
  <c r="Y258" i="30"/>
  <c r="D325" i="35"/>
  <c r="D132" i="35"/>
  <c r="D135" i="35"/>
  <c r="D324" i="35"/>
  <c r="D326" i="35"/>
  <c r="D136" i="35"/>
  <c r="D131" i="35"/>
  <c r="D134" i="35"/>
  <c r="D321" i="35"/>
  <c r="D319" i="35"/>
  <c r="Y59" i="30"/>
  <c r="Y316" i="30"/>
  <c r="D375" i="35"/>
  <c r="D200" i="35"/>
  <c r="D233" i="35"/>
  <c r="D158" i="35"/>
  <c r="D145" i="35"/>
  <c r="D146" i="35"/>
  <c r="D147" i="35"/>
  <c r="D128" i="35"/>
  <c r="D334" i="35"/>
  <c r="D333" i="35"/>
  <c r="D354" i="35"/>
  <c r="D356" i="35"/>
  <c r="D322" i="35"/>
  <c r="D403" i="35"/>
  <c r="D302" i="35"/>
  <c r="D160" i="35"/>
  <c r="D360" i="35"/>
  <c r="D214" i="35"/>
  <c r="D249" i="35"/>
  <c r="D323" i="35"/>
  <c r="D327" i="35"/>
  <c r="D141" i="35"/>
  <c r="D138" i="35"/>
  <c r="D133" i="35"/>
  <c r="D343" i="35"/>
  <c r="D174" i="35"/>
  <c r="D374" i="35"/>
  <c r="D337" i="35"/>
  <c r="D223" i="35"/>
  <c r="D206" i="35"/>
  <c r="D383" i="35"/>
  <c r="D222" i="35"/>
  <c r="D315" i="35"/>
  <c r="D320" i="35"/>
  <c r="D402" i="35"/>
  <c r="D130" i="35"/>
  <c r="Y457" i="30"/>
  <c r="Y445" i="30"/>
  <c r="Y54" i="30"/>
  <c r="Y270" i="30"/>
  <c r="Y138" i="30"/>
  <c r="Y119" i="30"/>
  <c r="Y17" i="30"/>
  <c r="Y120" i="30"/>
  <c r="D176" i="35"/>
  <c r="D361" i="35"/>
  <c r="D186" i="35"/>
  <c r="D158" i="33"/>
  <c r="D84" i="33"/>
  <c r="Y76" i="30"/>
  <c r="Y71" i="30"/>
  <c r="Y128" i="30"/>
  <c r="Y84" i="30"/>
  <c r="Y158" i="30"/>
  <c r="Y123" i="30"/>
  <c r="Y106" i="30"/>
  <c r="Y112" i="30"/>
  <c r="Y25" i="30"/>
  <c r="Y16" i="30"/>
  <c r="D181" i="35"/>
  <c r="D161" i="33"/>
  <c r="D93" i="33"/>
  <c r="D205" i="35"/>
  <c r="D234" i="35"/>
  <c r="D195" i="35"/>
  <c r="D331" i="35"/>
  <c r="D142" i="33"/>
  <c r="D69" i="33"/>
  <c r="D91" i="33"/>
  <c r="D145" i="33"/>
  <c r="D395" i="35"/>
  <c r="D236" i="35"/>
  <c r="D227" i="35"/>
  <c r="D381" i="35"/>
  <c r="D157" i="33"/>
  <c r="D81" i="33"/>
  <c r="Y191" i="30"/>
  <c r="Y223" i="30"/>
  <c r="Y65" i="30"/>
  <c r="Y280" i="30"/>
  <c r="Y114" i="30"/>
  <c r="Y152" i="30"/>
  <c r="D304" i="35"/>
  <c r="D124" i="35"/>
  <c r="D198" i="35"/>
  <c r="D401" i="35"/>
  <c r="D404" i="35"/>
  <c r="D412" i="35"/>
  <c r="D420" i="35"/>
  <c r="D393" i="35"/>
  <c r="D385" i="35"/>
  <c r="D373" i="35"/>
  <c r="D363" i="35"/>
  <c r="D342" i="35"/>
  <c r="D332" i="35"/>
  <c r="D311" i="35"/>
  <c r="D390" i="35"/>
  <c r="D358" i="35"/>
  <c r="D300" i="35"/>
  <c r="D379" i="35"/>
  <c r="D339" i="35"/>
  <c r="D388" i="35"/>
  <c r="D355" i="35"/>
  <c r="D418" i="35"/>
  <c r="D405" i="35"/>
  <c r="D413" i="35"/>
  <c r="D421" i="35"/>
  <c r="D392" i="35"/>
  <c r="D384" i="35"/>
  <c r="D372" i="35"/>
  <c r="D362" i="35"/>
  <c r="D352" i="35"/>
  <c r="D341" i="35"/>
  <c r="D330" i="35"/>
  <c r="D309" i="35"/>
  <c r="D399" i="35"/>
  <c r="D370" i="35"/>
  <c r="D328" i="35"/>
  <c r="D389" i="35"/>
  <c r="D348" i="35"/>
  <c r="D417" i="35"/>
  <c r="D366" i="35"/>
  <c r="D291" i="35"/>
  <c r="D365" i="35"/>
  <c r="D286" i="35"/>
  <c r="D406" i="35"/>
  <c r="D414" i="35"/>
  <c r="D400" i="35"/>
  <c r="D391" i="35"/>
  <c r="D382" i="35"/>
  <c r="D371" i="35"/>
  <c r="D359" i="35"/>
  <c r="D349" i="35"/>
  <c r="D329" i="35"/>
  <c r="D303" i="35"/>
  <c r="D415" i="35"/>
  <c r="D380" i="35"/>
  <c r="D340" i="35"/>
  <c r="D398" i="35"/>
  <c r="D357" i="35"/>
  <c r="D293" i="35"/>
  <c r="D378" i="35"/>
  <c r="D338" i="35"/>
  <c r="D387" i="35"/>
  <c r="D346" i="35"/>
  <c r="D407" i="35"/>
  <c r="D316" i="35"/>
  <c r="D377" i="35"/>
  <c r="D336" i="35"/>
  <c r="D408" i="35"/>
  <c r="D409" i="35"/>
  <c r="D410" i="35"/>
  <c r="D411" i="35"/>
  <c r="D419" i="35"/>
  <c r="D394" i="35"/>
  <c r="D386" i="35"/>
  <c r="D376" i="35"/>
  <c r="D364" i="35"/>
  <c r="D353" i="35"/>
  <c r="D344" i="35"/>
  <c r="D335" i="35"/>
  <c r="D310" i="35"/>
  <c r="D350" i="35"/>
  <c r="D416" i="35"/>
  <c r="D367" i="35"/>
  <c r="D318" i="35"/>
  <c r="D397" i="35"/>
  <c r="D347" i="35"/>
  <c r="D396" i="35"/>
  <c r="D313" i="35"/>
  <c r="D171" i="35"/>
  <c r="Y116" i="30"/>
  <c r="Y19" i="30"/>
  <c r="Y154" i="30"/>
  <c r="Y131" i="30"/>
  <c r="Y94" i="30"/>
  <c r="Y228" i="30"/>
  <c r="Y301" i="30"/>
  <c r="Y533" i="30"/>
  <c r="Y283" i="30"/>
  <c r="Y432" i="30"/>
  <c r="Y40" i="30"/>
  <c r="Y337" i="30"/>
  <c r="Y90" i="30"/>
  <c r="Y372" i="30"/>
  <c r="Y206" i="30"/>
  <c r="Y449" i="30"/>
  <c r="Y527" i="30"/>
  <c r="Y237" i="30"/>
  <c r="D149" i="35"/>
  <c r="Y60" i="30"/>
  <c r="Y58" i="30"/>
  <c r="D243" i="35"/>
  <c r="D196" i="35"/>
  <c r="D136" i="33"/>
  <c r="D134" i="33"/>
  <c r="D132" i="33"/>
  <c r="D124" i="33"/>
  <c r="D138" i="33"/>
  <c r="D114" i="33"/>
  <c r="D49" i="33"/>
  <c r="D41" i="33"/>
  <c r="D54" i="33"/>
  <c r="D57" i="33"/>
  <c r="D32" i="33"/>
  <c r="D27" i="33"/>
  <c r="Y247" i="30"/>
  <c r="Y170" i="30"/>
  <c r="D103" i="35"/>
  <c r="D197" i="35"/>
  <c r="Y15" i="30"/>
  <c r="Y46" i="30"/>
  <c r="D152" i="35"/>
  <c r="Y364" i="30"/>
  <c r="Y57" i="30"/>
  <c r="Y104" i="30"/>
  <c r="Y34" i="30"/>
  <c r="D127" i="33"/>
  <c r="D148" i="33"/>
  <c r="Y313" i="30"/>
  <c r="Y18" i="30"/>
  <c r="Y32" i="30"/>
  <c r="Y68" i="30"/>
  <c r="Y36" i="30"/>
  <c r="Y424" i="30"/>
  <c r="Y198" i="30"/>
  <c r="Y520" i="30"/>
  <c r="Y243" i="30"/>
  <c r="Y353" i="30"/>
  <c r="Y356" i="30"/>
  <c r="Y109" i="30"/>
  <c r="Y357" i="30"/>
  <c r="Y489" i="30"/>
  <c r="Y559" i="30"/>
  <c r="D155" i="35"/>
  <c r="P11" i="30"/>
  <c r="D160" i="33"/>
  <c r="D162" i="33"/>
  <c r="D98" i="33"/>
  <c r="D88" i="33"/>
  <c r="D72" i="33"/>
  <c r="D45" i="33"/>
  <c r="D52" i="33"/>
  <c r="D39" i="33"/>
  <c r="D26" i="33"/>
  <c r="D14" i="33"/>
  <c r="D76" i="33"/>
  <c r="D44" i="33"/>
  <c r="D42" i="33"/>
  <c r="D63" i="33"/>
  <c r="D97" i="33"/>
  <c r="D87" i="33"/>
  <c r="D79" i="33"/>
  <c r="D71" i="33"/>
  <c r="D60" i="33"/>
  <c r="D48" i="33"/>
  <c r="D38" i="33"/>
  <c r="D25" i="33"/>
  <c r="D13" i="33"/>
  <c r="D83" i="33"/>
  <c r="D22" i="33"/>
  <c r="D73" i="33"/>
  <c r="D19" i="33"/>
  <c r="D96" i="33"/>
  <c r="D86" i="33"/>
  <c r="D78" i="33"/>
  <c r="D70" i="33"/>
  <c r="D62" i="33"/>
  <c r="D47" i="33"/>
  <c r="D34" i="33"/>
  <c r="D24" i="33"/>
  <c r="D12" i="33"/>
  <c r="D67" i="33"/>
  <c r="D31" i="33"/>
  <c r="D89" i="33"/>
  <c r="D95" i="33"/>
  <c r="D85" i="33"/>
  <c r="D77" i="33"/>
  <c r="D68" i="33"/>
  <c r="D37" i="33"/>
  <c r="D46" i="33"/>
  <c r="D33" i="33"/>
  <c r="D23" i="33"/>
  <c r="D94" i="33"/>
  <c r="D59" i="33"/>
  <c r="D20" i="33"/>
  <c r="D53" i="33"/>
  <c r="D92" i="33"/>
  <c r="D75" i="33"/>
  <c r="D66" i="33"/>
  <c r="D56" i="33"/>
  <c r="D43" i="33"/>
  <c r="D30" i="33"/>
  <c r="D21" i="33"/>
  <c r="D74" i="33"/>
  <c r="D55" i="33"/>
  <c r="D80" i="33"/>
  <c r="D28" i="33"/>
  <c r="D90" i="33"/>
  <c r="D65" i="33"/>
  <c r="D29" i="33"/>
  <c r="D40" i="33"/>
  <c r="D116" i="33"/>
  <c r="D128" i="33"/>
  <c r="D139" i="33"/>
  <c r="D149" i="33"/>
  <c r="D163" i="33"/>
  <c r="D117" i="33"/>
  <c r="D129" i="33"/>
  <c r="D141" i="33"/>
  <c r="D152" i="33"/>
  <c r="D164" i="33"/>
  <c r="D166" i="33"/>
  <c r="D122" i="33"/>
  <c r="D131" i="33"/>
  <c r="D156" i="33"/>
  <c r="D121" i="33"/>
  <c r="D123" i="33"/>
  <c r="D133" i="33"/>
  <c r="D144" i="33"/>
  <c r="D153" i="33"/>
  <c r="D125" i="33"/>
  <c r="D135" i="33"/>
  <c r="D146" i="33"/>
  <c r="D159" i="33"/>
  <c r="D130" i="33"/>
  <c r="D113" i="33"/>
  <c r="D126" i="33"/>
  <c r="D137" i="33"/>
  <c r="D147" i="33"/>
  <c r="D178" i="35"/>
  <c r="D212" i="35"/>
  <c r="D156" i="35"/>
  <c r="D187" i="35"/>
  <c r="D202" i="35"/>
  <c r="D175" i="35"/>
  <c r="D129" i="35"/>
  <c r="D221" i="35"/>
  <c r="D153" i="35"/>
  <c r="D231" i="35"/>
  <c r="D165" i="35"/>
  <c r="D242" i="35"/>
  <c r="D252" i="35"/>
  <c r="D123" i="35"/>
  <c r="D151" i="35"/>
  <c r="D164" i="35"/>
  <c r="D185" i="35"/>
  <c r="D201" i="35"/>
  <c r="D211" i="35"/>
  <c r="D220" i="35"/>
  <c r="D235" i="35"/>
  <c r="D241" i="35"/>
  <c r="D251" i="35"/>
  <c r="D137" i="35"/>
  <c r="D154" i="35"/>
  <c r="D166" i="35"/>
  <c r="D177" i="35"/>
  <c r="D188" i="35"/>
  <c r="D203" i="35"/>
  <c r="D213" i="35"/>
  <c r="D232" i="35"/>
  <c r="D244" i="35"/>
  <c r="D253" i="35"/>
  <c r="D112" i="35"/>
  <c r="D142" i="35"/>
  <c r="D157" i="35"/>
  <c r="D172" i="35"/>
  <c r="D179" i="35"/>
  <c r="D189" i="35"/>
  <c r="D204" i="35"/>
  <c r="D215" i="35"/>
  <c r="D224" i="35"/>
  <c r="D237" i="35"/>
  <c r="D245" i="35"/>
  <c r="D254" i="35"/>
  <c r="D117" i="35"/>
  <c r="D143" i="35"/>
  <c r="D159" i="35"/>
  <c r="D167" i="35"/>
  <c r="D192" i="35"/>
  <c r="D190" i="35"/>
  <c r="D207" i="35"/>
  <c r="D216" i="35"/>
  <c r="D225" i="35"/>
  <c r="D238" i="35"/>
  <c r="D246" i="35"/>
  <c r="D255" i="35"/>
  <c r="D119" i="35"/>
  <c r="D144" i="35"/>
  <c r="D161" i="35"/>
  <c r="D168" i="35"/>
  <c r="D180" i="35"/>
  <c r="D193" i="35"/>
  <c r="D208" i="35"/>
  <c r="D217" i="35"/>
  <c r="D226" i="35"/>
  <c r="D247" i="35"/>
  <c r="D256" i="35"/>
  <c r="D121" i="35"/>
  <c r="D148" i="35"/>
  <c r="D162" i="35"/>
  <c r="D169" i="35"/>
  <c r="D182" i="35"/>
  <c r="D194" i="35"/>
  <c r="D209" i="35"/>
  <c r="D218" i="35"/>
  <c r="D228" i="35"/>
  <c r="D239" i="35"/>
  <c r="D248" i="35"/>
  <c r="D257" i="35"/>
  <c r="D122" i="35"/>
  <c r="D150" i="35"/>
  <c r="D163" i="35"/>
  <c r="D183" i="35"/>
  <c r="D199" i="35"/>
  <c r="D210" i="35"/>
  <c r="D219" i="35"/>
  <c r="D230" i="35"/>
  <c r="D240" i="35"/>
  <c r="D250" i="35"/>
  <c r="D258" i="35"/>
  <c r="M11" i="30"/>
  <c r="Q11" i="30"/>
  <c r="J11" i="30"/>
  <c r="K11" i="30"/>
  <c r="N11" i="30"/>
  <c r="L11" i="30"/>
  <c r="Y368" i="30"/>
  <c r="Y550" i="30"/>
  <c r="Y92" i="30"/>
  <c r="Y143" i="30"/>
  <c r="Y230" i="30"/>
  <c r="Y366" i="30"/>
  <c r="Y431" i="30"/>
  <c r="Y127" i="30"/>
  <c r="Y441" i="30"/>
  <c r="Y24" i="30"/>
  <c r="Y41" i="30"/>
  <c r="Y75" i="30"/>
  <c r="Y220" i="30"/>
  <c r="Y250" i="30"/>
  <c r="Y420" i="30"/>
  <c r="Y560" i="30"/>
  <c r="Y296" i="30"/>
  <c r="Y139" i="30"/>
  <c r="Y410" i="30"/>
  <c r="Y14" i="30"/>
  <c r="Y61" i="30"/>
  <c r="Y98" i="30"/>
  <c r="Y113" i="30"/>
  <c r="Y195" i="30"/>
  <c r="Y86" i="30"/>
  <c r="Y281" i="30"/>
  <c r="Y473" i="30"/>
  <c r="Y502" i="30"/>
  <c r="Y105" i="30"/>
  <c r="Y263" i="30"/>
  <c r="Y81" i="30"/>
  <c r="Y347" i="30"/>
  <c r="Y129" i="30"/>
  <c r="Y87" i="30"/>
  <c r="Y110" i="30"/>
  <c r="Y273" i="30"/>
  <c r="Y359" i="30"/>
  <c r="Y373" i="30"/>
  <c r="Y517" i="30"/>
  <c r="Y569" i="30"/>
  <c r="Y290" i="30"/>
  <c r="Y43" i="30"/>
  <c r="Y99" i="30"/>
  <c r="Y48" i="30"/>
  <c r="Y117" i="30"/>
  <c r="Y179" i="30"/>
  <c r="Y401" i="30"/>
  <c r="Y438" i="30"/>
  <c r="Y505" i="30"/>
  <c r="Y334" i="30"/>
  <c r="Y91" i="30"/>
  <c r="Y134" i="30"/>
  <c r="Y209" i="30"/>
  <c r="Y160" i="30"/>
  <c r="Y434" i="30"/>
  <c r="Y529" i="30"/>
  <c r="Y151" i="30"/>
  <c r="Y379" i="30"/>
  <c r="Y63" i="30"/>
  <c r="Y384" i="30"/>
  <c r="Y103" i="30"/>
  <c r="Y148" i="30"/>
  <c r="Y73" i="30"/>
  <c r="Y133" i="30"/>
  <c r="Y261" i="30"/>
  <c r="Y279" i="30"/>
  <c r="Y333" i="30"/>
  <c r="Y537" i="30"/>
  <c r="Y122" i="30"/>
  <c r="Y211" i="30"/>
  <c r="Y240" i="30"/>
  <c r="Y231" i="30"/>
  <c r="Y241" i="30"/>
  <c r="Y251" i="30"/>
  <c r="Y292" i="30"/>
  <c r="Y343" i="30"/>
  <c r="Y307" i="30"/>
  <c r="Y340" i="30"/>
  <c r="Y341" i="30"/>
  <c r="Y352" i="30"/>
  <c r="Y358" i="30"/>
  <c r="Y389" i="30"/>
  <c r="Y383" i="30"/>
  <c r="Y385" i="30"/>
  <c r="Y395" i="30"/>
  <c r="Y422" i="30"/>
  <c r="Y414" i="30"/>
  <c r="Y426" i="30"/>
  <c r="Y425" i="30"/>
  <c r="Y66" i="30"/>
  <c r="Y439" i="30"/>
  <c r="Y462" i="30"/>
  <c r="Y467" i="30"/>
  <c r="Y458" i="30"/>
  <c r="Y476" i="30"/>
  <c r="Y415" i="30"/>
  <c r="Y465" i="30"/>
  <c r="Y493" i="30"/>
  <c r="Y500" i="30"/>
  <c r="Y512" i="30"/>
  <c r="Y530" i="30"/>
  <c r="Y539" i="30"/>
  <c r="Y551" i="30"/>
  <c r="Y561" i="30"/>
  <c r="Y570" i="30"/>
  <c r="Y141" i="30"/>
  <c r="Y268" i="30"/>
  <c r="Y45" i="30"/>
  <c r="Y398" i="30"/>
  <c r="Y101" i="30"/>
  <c r="Y159" i="30"/>
  <c r="Y55" i="30"/>
  <c r="Y89" i="30"/>
  <c r="Y130" i="30"/>
  <c r="Y124" i="30"/>
  <c r="Y155" i="30"/>
  <c r="Y164" i="30"/>
  <c r="Y183" i="30"/>
  <c r="Y178" i="30"/>
  <c r="Y192" i="30"/>
  <c r="Y189" i="30"/>
  <c r="Y201" i="30"/>
  <c r="Y219" i="30"/>
  <c r="Y221" i="30"/>
  <c r="Y276" i="30"/>
  <c r="Y253" i="30"/>
  <c r="Y252" i="30"/>
  <c r="Y246" i="30"/>
  <c r="Y271" i="30"/>
  <c r="Y282" i="30"/>
  <c r="Y285" i="30"/>
  <c r="Y302" i="30"/>
  <c r="Y298" i="30"/>
  <c r="Y315" i="30"/>
  <c r="Y318" i="30"/>
  <c r="Y332" i="30"/>
  <c r="Y346" i="30"/>
  <c r="Y354" i="30"/>
  <c r="Y371" i="30"/>
  <c r="Y376" i="30"/>
  <c r="Y392" i="30"/>
  <c r="Y399" i="30"/>
  <c r="Y408" i="30"/>
  <c r="Y417" i="30"/>
  <c r="Y416" i="30"/>
  <c r="Y443" i="30"/>
  <c r="Y452" i="30"/>
  <c r="Y470" i="30"/>
  <c r="Y483" i="30"/>
  <c r="Y491" i="30"/>
  <c r="Y498" i="30"/>
  <c r="Y508" i="30"/>
  <c r="Y507" i="30"/>
  <c r="Y514" i="30"/>
  <c r="Y531" i="30"/>
  <c r="Y540" i="30"/>
  <c r="Y555" i="30"/>
  <c r="Y564" i="30"/>
  <c r="Y226" i="30"/>
  <c r="Y56" i="30"/>
  <c r="Y74" i="30"/>
  <c r="Y44" i="30"/>
  <c r="Y30" i="30"/>
  <c r="Y67" i="30"/>
  <c r="Y374" i="30"/>
  <c r="Y102" i="30"/>
  <c r="Y140" i="30"/>
  <c r="Y210" i="30"/>
  <c r="Y563" i="30"/>
  <c r="Y190" i="30"/>
  <c r="Y207" i="30"/>
  <c r="Y182" i="30"/>
  <c r="Y217" i="30"/>
  <c r="Y267" i="30"/>
  <c r="Y269" i="30"/>
  <c r="Y173" i="30"/>
  <c r="Y235" i="30"/>
  <c r="Y286" i="30"/>
  <c r="Y303" i="30"/>
  <c r="Y305" i="30"/>
  <c r="Y325" i="30"/>
  <c r="Y349" i="30"/>
  <c r="Y369" i="30"/>
  <c r="Y365" i="30"/>
  <c r="Y381" i="30"/>
  <c r="Y380" i="30"/>
  <c r="Y388" i="30"/>
  <c r="Y406" i="30"/>
  <c r="Y409" i="30"/>
  <c r="Y421" i="30"/>
  <c r="Y430" i="30"/>
  <c r="Y435" i="30"/>
  <c r="Y442" i="30"/>
  <c r="Y62" i="30"/>
  <c r="Y459" i="30"/>
  <c r="Y444" i="30"/>
  <c r="Y494" i="30"/>
  <c r="Y511" i="30"/>
  <c r="Y519" i="30"/>
  <c r="Y532" i="30"/>
  <c r="Y545" i="30"/>
  <c r="Y556" i="30"/>
  <c r="Y565" i="30"/>
  <c r="Y572" i="30"/>
  <c r="Y13" i="30"/>
  <c r="Y70" i="30"/>
  <c r="Y156" i="30"/>
  <c r="Y52" i="30"/>
  <c r="Y38" i="30"/>
  <c r="Y37" i="30"/>
  <c r="Y53" i="30"/>
  <c r="Y144" i="30"/>
  <c r="Y88" i="30"/>
  <c r="Y171" i="30"/>
  <c r="Y95" i="30"/>
  <c r="Y125" i="30"/>
  <c r="Y538" i="30"/>
  <c r="Y146" i="30"/>
  <c r="Y196" i="30"/>
  <c r="Y214" i="30"/>
  <c r="Y142" i="30"/>
  <c r="Y199" i="30"/>
  <c r="Y163" i="30"/>
  <c r="Y216" i="30"/>
  <c r="Y215" i="30"/>
  <c r="Y229" i="30"/>
  <c r="Y224" i="30"/>
  <c r="Y233" i="30"/>
  <c r="Y266" i="30"/>
  <c r="Y256" i="30"/>
  <c r="Y284" i="30"/>
  <c r="Y306" i="30"/>
  <c r="Y299" i="30"/>
  <c r="Y310" i="30"/>
  <c r="Y317" i="30"/>
  <c r="Y330" i="30"/>
  <c r="Y339" i="30"/>
  <c r="Y350" i="30"/>
  <c r="Y355" i="30"/>
  <c r="Y367" i="30"/>
  <c r="Y394" i="30"/>
  <c r="Y188" i="30"/>
  <c r="Y145" i="30"/>
  <c r="Y404" i="30"/>
  <c r="Y450" i="30"/>
  <c r="Y455" i="30"/>
  <c r="Y461" i="30"/>
  <c r="Y474" i="30"/>
  <c r="Y477" i="30"/>
  <c r="Y466" i="30"/>
  <c r="Y485" i="30"/>
  <c r="Y484" i="30"/>
  <c r="Y504" i="30"/>
  <c r="Y509" i="30"/>
  <c r="Y515" i="30"/>
  <c r="Y328" i="30"/>
  <c r="Y546" i="30"/>
  <c r="Y566" i="30"/>
  <c r="Y573" i="30"/>
  <c r="Y21" i="30"/>
  <c r="Y31" i="30"/>
  <c r="Y85" i="30"/>
  <c r="Y35" i="30"/>
  <c r="Y47" i="30"/>
  <c r="Y82" i="30"/>
  <c r="Y118" i="30"/>
  <c r="Y168" i="30"/>
  <c r="Y107" i="30"/>
  <c r="Y80" i="30"/>
  <c r="Y97" i="30"/>
  <c r="Y162" i="30"/>
  <c r="Y203" i="30"/>
  <c r="Y166" i="30"/>
  <c r="Y165" i="30"/>
  <c r="Y169" i="30"/>
  <c r="Y218" i="30"/>
  <c r="Y265" i="30"/>
  <c r="Y234" i="30"/>
  <c r="Y212" i="30"/>
  <c r="Y172" i="30"/>
  <c r="Y254" i="30"/>
  <c r="Y272" i="30"/>
  <c r="Y274" i="30"/>
  <c r="Y297" i="30"/>
  <c r="Y278" i="30"/>
  <c r="Y312" i="30"/>
  <c r="Y321" i="30"/>
  <c r="Y338" i="30"/>
  <c r="Y360" i="30"/>
  <c r="Y342" i="30"/>
  <c r="Y323" i="30"/>
  <c r="Y370" i="30"/>
  <c r="Y393" i="30"/>
  <c r="Y403" i="30"/>
  <c r="Y418" i="30"/>
  <c r="Y428" i="30"/>
  <c r="Y437" i="30"/>
  <c r="Y448" i="30"/>
  <c r="Y471" i="30"/>
  <c r="Y479" i="30"/>
  <c r="Y486" i="30"/>
  <c r="Y495" i="30"/>
  <c r="Y503" i="30"/>
  <c r="Y516" i="30"/>
  <c r="Y534" i="30"/>
  <c r="Y547" i="30"/>
  <c r="Y557" i="30"/>
  <c r="Y567" i="30"/>
  <c r="Y574" i="30"/>
  <c r="Y126" i="30"/>
  <c r="Y150" i="30"/>
  <c r="Y204" i="30"/>
  <c r="Y197" i="30"/>
  <c r="Y242" i="30"/>
  <c r="Y225" i="30"/>
  <c r="Y260" i="30"/>
  <c r="Y249" i="30"/>
  <c r="Y277" i="30"/>
  <c r="Y291" i="30"/>
  <c r="Y300" i="30"/>
  <c r="Y308" i="30"/>
  <c r="Y562" i="30"/>
  <c r="Y320" i="30"/>
  <c r="Y363" i="30"/>
  <c r="Y348" i="30"/>
  <c r="Y361" i="30"/>
  <c r="Y362" i="30"/>
  <c r="Y377" i="30"/>
  <c r="Y382" i="30"/>
  <c r="Y397" i="30"/>
  <c r="Y400" i="30"/>
  <c r="Y413" i="30"/>
  <c r="Y407" i="30"/>
  <c r="Y405" i="30"/>
  <c r="Y453" i="30"/>
  <c r="Y456" i="30"/>
  <c r="Y436" i="30"/>
  <c r="Y475" i="30"/>
  <c r="Y469" i="30"/>
  <c r="Y482" i="30"/>
  <c r="Y492" i="30"/>
  <c r="Y513" i="30"/>
  <c r="Y510" i="30"/>
  <c r="Y157" i="30"/>
  <c r="Y541" i="30"/>
  <c r="Y535" i="30"/>
  <c r="Y548" i="30"/>
  <c r="Y558" i="30"/>
  <c r="Y568" i="30"/>
  <c r="Y78" i="30"/>
  <c r="Y149" i="30"/>
  <c r="Y111" i="30"/>
  <c r="Y22" i="30"/>
  <c r="Y29" i="30"/>
  <c r="Y26" i="30"/>
  <c r="Y571" i="30"/>
  <c r="Y147" i="30"/>
  <c r="Y77" i="30"/>
  <c r="Y79" i="30"/>
  <c r="Y121" i="30"/>
  <c r="Y115" i="30"/>
  <c r="Y176" i="30"/>
  <c r="Y161" i="30"/>
  <c r="Y202" i="30"/>
  <c r="Y187" i="30"/>
  <c r="Y205" i="30"/>
  <c r="Y194" i="30"/>
  <c r="Y177" i="30"/>
  <c r="Y175" i="30"/>
  <c r="Y238" i="30"/>
  <c r="Y227" i="30"/>
  <c r="Y245" i="30"/>
  <c r="Y239" i="30"/>
  <c r="Y244" i="30"/>
  <c r="Y257" i="30"/>
  <c r="Y488" i="30"/>
  <c r="Y259" i="30"/>
  <c r="Y255" i="30"/>
  <c r="Y232" i="30"/>
  <c r="Y264" i="30"/>
  <c r="Y293" i="30"/>
  <c r="Y248" i="30"/>
  <c r="Y295" i="30"/>
  <c r="Y314" i="30"/>
  <c r="Y327" i="30"/>
  <c r="Y336" i="30"/>
  <c r="Y351" i="30"/>
  <c r="Y378" i="30"/>
  <c r="Y391" i="30"/>
  <c r="Y396" i="30"/>
  <c r="Y402" i="30"/>
  <c r="Y419" i="30"/>
  <c r="Y454" i="30"/>
  <c r="Y446" i="30"/>
  <c r="Y451" i="30"/>
  <c r="Y463" i="30"/>
  <c r="Y468" i="30"/>
  <c r="Y480" i="30"/>
  <c r="Y490" i="30"/>
  <c r="Y496" i="30"/>
  <c r="Y487" i="30"/>
  <c r="Y506" i="30"/>
  <c r="Y518" i="30"/>
  <c r="Y528" i="30"/>
  <c r="Y536" i="30"/>
  <c r="Y549" i="30"/>
  <c r="F523" i="30" l="1"/>
  <c r="F527" i="30"/>
  <c r="F525" i="30"/>
  <c r="F522" i="30"/>
  <c r="F524" i="30"/>
  <c r="F514" i="30"/>
  <c r="F327" i="30"/>
  <c r="F183" i="30"/>
  <c r="F249" i="30"/>
  <c r="F32" i="30"/>
  <c r="F40" i="30"/>
  <c r="F166" i="30"/>
  <c r="F459" i="30"/>
  <c r="F13" i="30"/>
  <c r="F78" i="30"/>
  <c r="F397" i="30"/>
  <c r="F259" i="30"/>
  <c r="F30" i="30"/>
  <c r="F173" i="30"/>
  <c r="F228" i="30"/>
  <c r="F285" i="30"/>
  <c r="F349" i="30"/>
  <c r="F414" i="30"/>
  <c r="F479" i="30"/>
  <c r="F15" i="30"/>
  <c r="F317" i="30"/>
  <c r="F35" i="30"/>
  <c r="F91" i="30"/>
  <c r="F150" i="30"/>
  <c r="F238" i="30"/>
  <c r="F289" i="30"/>
  <c r="F350" i="30"/>
  <c r="F416" i="30"/>
  <c r="F480" i="30"/>
  <c r="F516" i="30"/>
  <c r="F233" i="30"/>
  <c r="F453" i="30"/>
  <c r="F54" i="30"/>
  <c r="F118" i="30"/>
  <c r="F193" i="30"/>
  <c r="F250" i="30"/>
  <c r="F312" i="30"/>
  <c r="F376" i="30"/>
  <c r="F439" i="30"/>
  <c r="F505" i="30"/>
  <c r="F76" i="30"/>
  <c r="F310" i="30"/>
  <c r="F518" i="30"/>
  <c r="F70" i="30"/>
  <c r="F129" i="30"/>
  <c r="F206" i="30"/>
  <c r="F266" i="30"/>
  <c r="F325" i="30"/>
  <c r="F394" i="30"/>
  <c r="F458" i="30"/>
  <c r="F219" i="30"/>
  <c r="F352" i="30"/>
  <c r="F226" i="30"/>
  <c r="F93" i="30"/>
  <c r="F121" i="30"/>
  <c r="F489" i="30"/>
  <c r="F248" i="30"/>
  <c r="F403" i="30"/>
  <c r="F283" i="30"/>
  <c r="F384" i="30"/>
  <c r="F141" i="30"/>
  <c r="F357" i="30"/>
  <c r="F256" i="30"/>
  <c r="F169" i="30"/>
  <c r="F138" i="30"/>
  <c r="F63" i="30"/>
  <c r="F199" i="30"/>
  <c r="F396" i="30"/>
  <c r="F21" i="30"/>
  <c r="F80" i="30"/>
  <c r="F158" i="30"/>
  <c r="F207" i="30"/>
  <c r="F280" i="30"/>
  <c r="F339" i="30"/>
  <c r="F405" i="30"/>
  <c r="F469" i="30"/>
  <c r="F25" i="30"/>
  <c r="F301" i="30"/>
  <c r="F44" i="30"/>
  <c r="F104" i="30"/>
  <c r="F171" i="30"/>
  <c r="F229" i="30"/>
  <c r="F293" i="30"/>
  <c r="F355" i="30"/>
  <c r="F422" i="30"/>
  <c r="F486" i="30"/>
  <c r="F47" i="30"/>
  <c r="F356" i="30"/>
  <c r="F39" i="30"/>
  <c r="F107" i="30"/>
  <c r="F162" i="30"/>
  <c r="F230" i="30"/>
  <c r="F295" i="30"/>
  <c r="F358" i="30"/>
  <c r="F427" i="30"/>
  <c r="F487" i="30"/>
  <c r="F38" i="30"/>
  <c r="F276" i="30"/>
  <c r="F478" i="30"/>
  <c r="F66" i="30"/>
  <c r="F126" i="30"/>
  <c r="F189" i="30"/>
  <c r="F261" i="30"/>
  <c r="F318" i="30"/>
  <c r="F383" i="30"/>
  <c r="F448" i="30"/>
  <c r="F513" i="30"/>
  <c r="F108" i="30"/>
  <c r="F340" i="30"/>
  <c r="F19" i="30"/>
  <c r="F79" i="30"/>
  <c r="F140" i="30"/>
  <c r="F205" i="30"/>
  <c r="F273" i="30"/>
  <c r="F333" i="30"/>
  <c r="F402" i="30"/>
  <c r="F466" i="30"/>
  <c r="F134" i="30"/>
  <c r="F73" i="30"/>
  <c r="F208" i="30"/>
  <c r="F28" i="30"/>
  <c r="F282" i="30"/>
  <c r="F92" i="30"/>
  <c r="F62" i="30"/>
  <c r="F441" i="30"/>
  <c r="F262" i="30"/>
  <c r="F499" i="30"/>
  <c r="F306" i="30"/>
  <c r="F299" i="30"/>
  <c r="F220" i="30"/>
  <c r="F124" i="30"/>
  <c r="F241" i="30"/>
  <c r="F426" i="30"/>
  <c r="F29" i="30"/>
  <c r="F109" i="30"/>
  <c r="F170" i="30"/>
  <c r="F221" i="30"/>
  <c r="F284" i="30"/>
  <c r="F347" i="30"/>
  <c r="F413" i="30"/>
  <c r="F477" i="30"/>
  <c r="F61" i="30"/>
  <c r="F330" i="30"/>
  <c r="F50" i="30"/>
  <c r="F117" i="30"/>
  <c r="F176" i="30"/>
  <c r="F234" i="30"/>
  <c r="F300" i="30"/>
  <c r="F365" i="30"/>
  <c r="F430" i="30"/>
  <c r="F495" i="30"/>
  <c r="F98" i="30"/>
  <c r="F398" i="30"/>
  <c r="F45" i="30"/>
  <c r="F110" i="30"/>
  <c r="F179" i="30"/>
  <c r="F235" i="30"/>
  <c r="F302" i="30"/>
  <c r="F366" i="30"/>
  <c r="F431" i="30"/>
  <c r="F496" i="30"/>
  <c r="F77" i="30"/>
  <c r="F294" i="30"/>
  <c r="F494" i="30"/>
  <c r="F74" i="30"/>
  <c r="F135" i="30"/>
  <c r="F197" i="30"/>
  <c r="F270" i="30"/>
  <c r="F335" i="30"/>
  <c r="F393" i="30"/>
  <c r="F457" i="30"/>
  <c r="F521" i="30"/>
  <c r="F137" i="30"/>
  <c r="F372" i="30"/>
  <c r="F26" i="30"/>
  <c r="F86" i="30"/>
  <c r="F156" i="30"/>
  <c r="F217" i="30"/>
  <c r="F287" i="30"/>
  <c r="F345" i="30"/>
  <c r="F412" i="30"/>
  <c r="F474" i="30"/>
  <c r="F203" i="30"/>
  <c r="F202" i="30"/>
  <c r="F258" i="30"/>
  <c r="F55" i="30"/>
  <c r="F315" i="30"/>
  <c r="F214" i="30"/>
  <c r="F190" i="30"/>
  <c r="F507" i="30"/>
  <c r="F409" i="30"/>
  <c r="F27" i="30"/>
  <c r="F321" i="30"/>
  <c r="F467" i="30"/>
  <c r="F328" i="30"/>
  <c r="F14" i="30"/>
  <c r="F264" i="30"/>
  <c r="F451" i="30"/>
  <c r="F37" i="30"/>
  <c r="F147" i="30"/>
  <c r="F165" i="30"/>
  <c r="F227" i="30"/>
  <c r="F292" i="30"/>
  <c r="F354" i="30"/>
  <c r="F420" i="30"/>
  <c r="F484" i="30"/>
  <c r="F88" i="30"/>
  <c r="F374" i="30"/>
  <c r="F64" i="30"/>
  <c r="F115" i="30"/>
  <c r="F181" i="30"/>
  <c r="F243" i="30"/>
  <c r="F311" i="30"/>
  <c r="F373" i="30"/>
  <c r="F440" i="30"/>
  <c r="F503" i="30"/>
  <c r="F144" i="30"/>
  <c r="F438" i="30"/>
  <c r="F51" i="30"/>
  <c r="F119" i="30"/>
  <c r="F178" i="30"/>
  <c r="F244" i="30"/>
  <c r="F313" i="30"/>
  <c r="F375" i="30"/>
  <c r="F442" i="30"/>
  <c r="F504" i="30"/>
  <c r="F96" i="30"/>
  <c r="F329" i="30"/>
  <c r="F18" i="30"/>
  <c r="F99" i="30"/>
  <c r="F145" i="30"/>
  <c r="F204" i="30"/>
  <c r="F272" i="30"/>
  <c r="F332" i="30"/>
  <c r="F401" i="30"/>
  <c r="F465" i="30"/>
  <c r="F419" i="30"/>
  <c r="F161" i="30"/>
  <c r="F389" i="30"/>
  <c r="F36" i="30"/>
  <c r="F95" i="30"/>
  <c r="F153" i="30"/>
  <c r="F224" i="30"/>
  <c r="F290" i="30"/>
  <c r="F351" i="30"/>
  <c r="F417" i="30"/>
  <c r="F482" i="30"/>
  <c r="F475" i="30"/>
  <c r="F461" i="30"/>
  <c r="F338" i="30"/>
  <c r="F274" i="30"/>
  <c r="F89" i="30"/>
  <c r="F346" i="30"/>
  <c r="F336" i="30"/>
  <c r="F225" i="30"/>
  <c r="F49" i="30"/>
  <c r="F136" i="30"/>
  <c r="F364" i="30"/>
  <c r="F116" i="30"/>
  <c r="F386" i="30"/>
  <c r="F46" i="30"/>
  <c r="F298" i="30"/>
  <c r="F460" i="30"/>
  <c r="F42" i="30"/>
  <c r="F106" i="30"/>
  <c r="F172" i="30"/>
  <c r="F240" i="30"/>
  <c r="F304" i="30"/>
  <c r="F371" i="30"/>
  <c r="F428" i="30"/>
  <c r="F493" i="30"/>
  <c r="F114" i="30"/>
  <c r="F415" i="30"/>
  <c r="F72" i="30"/>
  <c r="F127" i="30"/>
  <c r="F187" i="30"/>
  <c r="F263" i="30"/>
  <c r="F319" i="30"/>
  <c r="F381" i="30"/>
  <c r="F454" i="30"/>
  <c r="F511" i="30"/>
  <c r="F175" i="30"/>
  <c r="F470" i="30"/>
  <c r="F59" i="30"/>
  <c r="F123" i="30"/>
  <c r="F188" i="30"/>
  <c r="F252" i="30"/>
  <c r="F343" i="30"/>
  <c r="F382" i="30"/>
  <c r="F447" i="30"/>
  <c r="F512" i="30"/>
  <c r="F132" i="30"/>
  <c r="F348" i="30"/>
  <c r="F34" i="30"/>
  <c r="F82" i="30"/>
  <c r="F159" i="30"/>
  <c r="F216" i="30"/>
  <c r="F281" i="30"/>
  <c r="F344" i="30"/>
  <c r="F411" i="30"/>
  <c r="F473" i="30"/>
  <c r="F446" i="30"/>
  <c r="F195" i="30"/>
  <c r="F421" i="30"/>
  <c r="F43" i="30"/>
  <c r="F102" i="30"/>
  <c r="F164" i="30"/>
  <c r="F239" i="30"/>
  <c r="F297" i="30"/>
  <c r="F359" i="30"/>
  <c r="F433" i="30"/>
  <c r="F490" i="30"/>
  <c r="F232" i="30"/>
  <c r="F52" i="30"/>
  <c r="F57" i="30"/>
  <c r="F269" i="30"/>
  <c r="F22" i="30"/>
  <c r="F309" i="30"/>
  <c r="F131" i="30"/>
  <c r="F377" i="30"/>
  <c r="F20" i="30"/>
  <c r="F254" i="30"/>
  <c r="F168" i="30"/>
  <c r="F146" i="30"/>
  <c r="F100" i="30"/>
  <c r="F385" i="30"/>
  <c r="F275" i="30"/>
  <c r="F435" i="30"/>
  <c r="F87" i="30"/>
  <c r="F331" i="30"/>
  <c r="F468" i="30"/>
  <c r="F48" i="30"/>
  <c r="F113" i="30"/>
  <c r="F177" i="30"/>
  <c r="F242" i="30"/>
  <c r="F308" i="30"/>
  <c r="F370" i="30"/>
  <c r="F437" i="30"/>
  <c r="F501" i="30"/>
  <c r="F148" i="30"/>
  <c r="F510" i="30"/>
  <c r="F68" i="30"/>
  <c r="F125" i="30"/>
  <c r="F194" i="30"/>
  <c r="F257" i="30"/>
  <c r="F326" i="30"/>
  <c r="F391" i="30"/>
  <c r="F455" i="30"/>
  <c r="F519" i="30"/>
  <c r="F212" i="30"/>
  <c r="F502" i="30"/>
  <c r="F71" i="30"/>
  <c r="F128" i="30"/>
  <c r="F213" i="30"/>
  <c r="F260" i="30"/>
  <c r="F323" i="30"/>
  <c r="F392" i="30"/>
  <c r="F456" i="30"/>
  <c r="F520" i="30"/>
  <c r="F143" i="30"/>
  <c r="F380" i="30"/>
  <c r="F33" i="30"/>
  <c r="F94" i="30"/>
  <c r="F157" i="30"/>
  <c r="F223" i="30"/>
  <c r="F286" i="30"/>
  <c r="F353" i="30"/>
  <c r="F423" i="30"/>
  <c r="F481" i="30"/>
  <c r="F500" i="30"/>
  <c r="F222" i="30"/>
  <c r="F444" i="30"/>
  <c r="F53" i="30"/>
  <c r="F111" i="30"/>
  <c r="F185" i="30"/>
  <c r="F245" i="30"/>
  <c r="F305" i="30"/>
  <c r="F367" i="30"/>
  <c r="F434" i="30"/>
  <c r="F498" i="30"/>
  <c r="F418" i="30"/>
  <c r="F491" i="30"/>
  <c r="F180" i="30"/>
  <c r="F337" i="30"/>
  <c r="F174" i="30"/>
  <c r="F425" i="30"/>
  <c r="F167" i="30"/>
  <c r="F291" i="30"/>
  <c r="F267" i="30"/>
  <c r="F58" i="30"/>
  <c r="F155" i="30"/>
  <c r="F450" i="30"/>
  <c r="F368" i="30"/>
  <c r="F97" i="30"/>
  <c r="F103" i="30"/>
  <c r="F361" i="30"/>
  <c r="F476" i="30"/>
  <c r="F60" i="30"/>
  <c r="F122" i="30"/>
  <c r="F198" i="30"/>
  <c r="F251" i="30"/>
  <c r="F316" i="30"/>
  <c r="F379" i="30"/>
  <c r="F443" i="30"/>
  <c r="F509" i="30"/>
  <c r="F192" i="30"/>
  <c r="F16" i="30"/>
  <c r="F83" i="30"/>
  <c r="F139" i="30"/>
  <c r="F209" i="30"/>
  <c r="F268" i="30"/>
  <c r="F334" i="30"/>
  <c r="F399" i="30"/>
  <c r="F463" i="30"/>
  <c r="F410" i="30"/>
  <c r="F247" i="30"/>
  <c r="F17" i="30"/>
  <c r="F75" i="30"/>
  <c r="F142" i="30"/>
  <c r="F210" i="30"/>
  <c r="F271" i="30"/>
  <c r="F363" i="30"/>
  <c r="F400" i="30"/>
  <c r="F464" i="30"/>
  <c r="F404" i="30"/>
  <c r="F186" i="30"/>
  <c r="F406" i="30"/>
  <c r="F41" i="30"/>
  <c r="F101" i="30"/>
  <c r="F163" i="30"/>
  <c r="F236" i="30"/>
  <c r="F296" i="30"/>
  <c r="F360" i="30"/>
  <c r="F424" i="30"/>
  <c r="F488" i="30"/>
  <c r="F31" i="30"/>
  <c r="F265" i="30"/>
  <c r="F462" i="30"/>
  <c r="F69" i="30"/>
  <c r="F120" i="30"/>
  <c r="F182" i="30"/>
  <c r="F246" i="30"/>
  <c r="F314" i="30"/>
  <c r="F378" i="30"/>
  <c r="F445" i="30"/>
  <c r="F506" i="30"/>
  <c r="F307" i="30"/>
  <c r="F369" i="30"/>
  <c r="F191" i="30"/>
  <c r="F492" i="30"/>
  <c r="F90" i="30"/>
  <c r="F322" i="30"/>
  <c r="F362" i="30"/>
  <c r="F149" i="30"/>
  <c r="F201" i="30"/>
  <c r="F515" i="30"/>
  <c r="F81" i="30"/>
  <c r="F160" i="30"/>
  <c r="F130" i="30"/>
  <c r="F395" i="30"/>
  <c r="F508" i="30"/>
  <c r="F65" i="30"/>
  <c r="F151" i="30"/>
  <c r="F200" i="30"/>
  <c r="F255" i="30"/>
  <c r="F324" i="30"/>
  <c r="F388" i="30"/>
  <c r="F452" i="30"/>
  <c r="F517" i="30"/>
  <c r="F231" i="30"/>
  <c r="F23" i="30"/>
  <c r="F84" i="30"/>
  <c r="F152" i="30"/>
  <c r="F218" i="30"/>
  <c r="F278" i="30"/>
  <c r="F341" i="30"/>
  <c r="F407" i="30"/>
  <c r="F471" i="30"/>
  <c r="F483" i="30"/>
  <c r="F288" i="30"/>
  <c r="F24" i="30"/>
  <c r="F105" i="30"/>
  <c r="F154" i="30"/>
  <c r="F215" i="30"/>
  <c r="F279" i="30"/>
  <c r="F342" i="30"/>
  <c r="F408" i="30"/>
  <c r="F472" i="30"/>
  <c r="F436" i="30"/>
  <c r="F211" i="30"/>
  <c r="F429" i="30"/>
  <c r="F56" i="30"/>
  <c r="F112" i="30"/>
  <c r="F184" i="30"/>
  <c r="F237" i="30"/>
  <c r="F303" i="30"/>
  <c r="F390" i="30"/>
  <c r="F432" i="30"/>
  <c r="F497" i="30"/>
  <c r="F85" i="30"/>
  <c r="F277" i="30"/>
  <c r="F485" i="30"/>
  <c r="F67" i="30"/>
  <c r="F133" i="30"/>
  <c r="F196" i="30"/>
  <c r="F253" i="30"/>
  <c r="F320" i="30"/>
  <c r="F387" i="30"/>
  <c r="F449" i="30"/>
  <c r="F12" i="30"/>
</calcChain>
</file>

<file path=xl/comments1.xml><?xml version="1.0" encoding="utf-8"?>
<comments xmlns="http://schemas.openxmlformats.org/spreadsheetml/2006/main">
  <authors>
    <author>SqueezeChart</author>
    <author>Autor</author>
  </authors>
  <commentList>
    <comment ref="C66" authorId="0" shapeId="0">
      <text>
        <r>
          <rPr>
            <b/>
            <sz val="9"/>
            <color indexed="81"/>
            <rFont val="Segoe UI"/>
            <family val="2"/>
          </rPr>
          <t>arc.exe a -ep1 -dses --dirs -s; -lc- -di -i2 -r -mmsc:raw=1:bmf=9:ddsraw=1:bmp=1:lzma,bt4,fb128,mc10000,lc8+lzma:a1:mfbt4:d200m:fb128:mc10000:lc8 x.arc TEST_XML\*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C113" authorId="1" shapeId="0">
      <text>
        <r>
          <rPr>
            <b/>
            <sz val="9"/>
            <color indexed="81"/>
            <rFont val="Tahoma"/>
            <family val="2"/>
          </rPr>
          <t>VMLite XPmodePC</t>
        </r>
      </text>
    </comment>
    <comment ref="C114" authorId="1" shapeId="0">
      <text>
        <r>
          <rPr>
            <b/>
            <sz val="9"/>
            <color indexed="81"/>
            <rFont val="Tahoma"/>
            <family val="2"/>
          </rPr>
          <t>* use blake2 checksums
* use file as reference
* don't store data for fast opening
* don't store precision time</t>
        </r>
      </text>
    </comment>
    <comment ref="C142" authorId="1" shapeId="0">
      <text>
        <r>
          <rPr>
            <b/>
            <sz val="9"/>
            <color indexed="81"/>
            <rFont val="Tahoma"/>
            <family val="2"/>
          </rPr>
          <t>unicode = yes
ext. Time stamps = no</t>
        </r>
      </text>
    </comment>
    <comment ref="C147" authorId="1" shapeId="0">
      <text>
        <r>
          <rPr>
            <b/>
            <sz val="9"/>
            <color indexed="81"/>
            <rFont val="Tahoma"/>
            <family val="2"/>
          </rPr>
          <t>VMLite XPmodePC</t>
        </r>
      </text>
    </comment>
    <comment ref="C223" authorId="1" shapeId="0">
      <text>
        <r>
          <rPr>
            <b/>
            <sz val="9"/>
            <color indexed="81"/>
            <rFont val="Segoe UI"/>
            <family val="2"/>
          </rPr>
          <t>fsbench-mingw64-4.6.2 tornado,11 app.tar</t>
        </r>
      </text>
    </comment>
    <comment ref="I248" authorId="1" shapeId="0">
      <text>
        <r>
          <rPr>
            <b/>
            <sz val="9"/>
            <color indexed="81"/>
            <rFont val="Segoe UI"/>
            <family val="2"/>
          </rPr>
          <t>used tar because recursion does not work propely</t>
        </r>
      </text>
    </comment>
    <comment ref="L248" authorId="1" shapeId="0">
      <text>
        <r>
          <rPr>
            <b/>
            <sz val="9"/>
            <color indexed="81"/>
            <rFont val="Segoe UI"/>
            <family val="2"/>
          </rPr>
          <t>used tar because recursion does not work propely</t>
        </r>
      </text>
    </comment>
    <comment ref="P248" authorId="1" shapeId="0">
      <text>
        <r>
          <rPr>
            <b/>
            <sz val="9"/>
            <color indexed="81"/>
            <rFont val="Segoe UI"/>
            <family val="2"/>
          </rPr>
          <t>used tar because recursion does not work propely</t>
        </r>
      </text>
    </comment>
  </commentList>
</comments>
</file>

<file path=xl/comments2.xml><?xml version="1.0" encoding="utf-8"?>
<comments xmlns="http://schemas.openxmlformats.org/spreadsheetml/2006/main">
  <authors>
    <author>SqueezeChart</author>
    <author>SqueezeChart2014</author>
    <author>Autor</author>
  </authors>
  <commentList>
    <comment ref="C19" authorId="0" shapeId="0">
      <text>
        <r>
          <rPr>
            <b/>
            <sz val="9"/>
            <color indexed="81"/>
            <rFont val="Segoe UI"/>
            <family val="2"/>
          </rPr>
          <t>paq8px_v77_gcc71_x64.exe</t>
        </r>
      </text>
    </comment>
    <comment ref="C24" authorId="1" shapeId="0">
      <text>
        <r>
          <rPr>
            <b/>
            <sz val="9"/>
            <color indexed="81"/>
            <rFont val="Tahoma"/>
            <family val="2"/>
          </rPr>
          <t>best preset without
ludicrous complexity mode,
dictionaries: english, spanish, french, portuguese, german</t>
        </r>
      </text>
    </comment>
    <comment ref="C30" authorId="1" shapeId="0">
      <text>
        <r>
          <rPr>
            <b/>
            <sz val="9"/>
            <color indexed="81"/>
            <rFont val="Tahoma"/>
            <family val="2"/>
          </rPr>
          <t>best preset without
ludicrous complexity mode,
dictionaries: english, spanish, french, portuguese, german</t>
        </r>
      </text>
    </comment>
    <comment ref="C31" authorId="1" shapeId="0">
      <text>
        <r>
          <rPr>
            <b/>
            <sz val="9"/>
            <color indexed="81"/>
            <rFont val="Tahoma"/>
            <family val="2"/>
          </rPr>
          <t>1024 MB, order 9, Models:
all, high, highest memory on each
ring buffer = 128 MB
mixing complexibility = insane
probability refinement = level 3
transforms: executable code, color space (RGB) enabled
dictionaries: english, spanish, french, portuguese, german</t>
        </r>
      </text>
    </comment>
    <comment ref="C34" authorId="2" shapeId="0">
      <text>
        <r>
          <rPr>
            <b/>
            <sz val="9"/>
            <color indexed="81"/>
            <rFont val="Tahoma"/>
            <family val="2"/>
          </rPr>
          <t>paq8px_v68 -7 *
also recurses subdirs</t>
        </r>
      </text>
    </comment>
    <comment ref="C47" authorId="2" shapeId="0">
      <text>
        <r>
          <rPr>
            <b/>
            <sz val="9"/>
            <color indexed="81"/>
            <rFont val="Tahoma"/>
            <family val="2"/>
          </rPr>
          <t>option -8 produces 'out-of-memory' error</t>
        </r>
      </text>
    </comment>
    <comment ref="C48" authorId="1" shapeId="0">
      <text>
        <r>
          <rPr>
            <b/>
            <sz val="9"/>
            <color indexed="81"/>
            <rFont val="Tahoma"/>
            <family val="2"/>
          </rPr>
          <t>Fast, 512 MB, order 9, Models:
Sparse (64MB), Record (64MB),
JPEG (high, 40MB), GIF (high, 32MB), Audio (32MB), Image (high, 80MB), x86
adaptive learning rate enabled
mixing complexibility = medium
probability refinement = level 2
all transforms (except delta) enabled
no dictionaries</t>
        </r>
      </text>
    </comment>
    <comment ref="C49" authorId="2" shapeId="0">
      <text>
        <r>
          <rPr>
            <b/>
            <sz val="9"/>
            <color indexed="81"/>
            <rFont val="Tahoma"/>
            <family val="2"/>
          </rPr>
          <t>option -8 produces 'out-of-memory' error</t>
        </r>
      </text>
    </comment>
    <comment ref="C50" authorId="2" shapeId="0">
      <text>
        <r>
          <rPr>
            <b/>
            <sz val="9"/>
            <color indexed="81"/>
            <rFont val="Tahoma"/>
            <family val="2"/>
          </rPr>
          <t>option -8 produces 'out-of-memory' error</t>
        </r>
      </text>
    </comment>
    <comment ref="P71" authorId="2" shapeId="0">
      <text>
        <r>
          <rPr>
            <b/>
            <sz val="9"/>
            <color indexed="81"/>
            <rFont val="Segoe UI"/>
            <family val="2"/>
          </rPr>
          <t>used TAR here</t>
        </r>
      </text>
    </comment>
    <comment ref="C78" authorId="2" shapeId="0">
      <text>
        <r>
          <rPr>
            <b/>
            <sz val="9"/>
            <color indexed="81"/>
            <rFont val="Segoe UI"/>
            <family val="2"/>
          </rPr>
          <t>does not support NTFS file system</t>
        </r>
      </text>
    </comment>
    <comment ref="G84" authorId="1" shapeId="0">
      <text>
        <r>
          <rPr>
            <b/>
            <sz val="9"/>
            <color indexed="81"/>
            <rFont val="Tahoma"/>
            <family val="2"/>
          </rPr>
          <t>ptime bro --quality 11 --window 24 --input app.tar --output app.bro</t>
        </r>
      </text>
    </comment>
    <comment ref="I87" authorId="2" shapeId="0">
      <text>
        <r>
          <rPr>
            <b/>
            <sz val="9"/>
            <color indexed="81"/>
            <rFont val="Tahoma"/>
            <family val="2"/>
          </rPr>
          <t>tar was used;
Split in 64 MB parts</t>
        </r>
      </text>
    </comment>
    <comment ref="J87" authorId="2" shapeId="0">
      <text>
        <r>
          <rPr>
            <b/>
            <sz val="9"/>
            <color indexed="81"/>
            <rFont val="Tahoma"/>
            <family val="2"/>
          </rPr>
          <t>tar was used;
split in 64 MB
parts</t>
        </r>
      </text>
    </comment>
    <comment ref="K87" authorId="2" shapeId="0">
      <text>
        <r>
          <rPr>
            <b/>
            <sz val="9"/>
            <color indexed="81"/>
            <rFont val="Tahoma"/>
            <family val="2"/>
          </rPr>
          <t>untared version;
due to continuous
restart .x3f were
compressed separately.</t>
        </r>
      </text>
    </comment>
    <comment ref="L87" authorId="2" shapeId="0">
      <text>
        <r>
          <rPr>
            <b/>
            <sz val="9"/>
            <color indexed="81"/>
            <rFont val="Tahoma"/>
            <family val="2"/>
          </rPr>
          <t>tar was used;
split in 64 MB
parts</t>
        </r>
      </text>
    </comment>
    <comment ref="M87" authorId="2" shapeId="0">
      <text>
        <r>
          <rPr>
            <b/>
            <sz val="9"/>
            <color indexed="81"/>
            <rFont val="Tahoma"/>
            <family val="2"/>
          </rPr>
          <t>tar was used;
split in 64 MB
parts</t>
        </r>
      </text>
    </comment>
    <comment ref="N87" authorId="2" shapeId="0">
      <text>
        <r>
          <rPr>
            <b/>
            <sz val="9"/>
            <color indexed="81"/>
            <rFont val="Tahoma"/>
            <family val="2"/>
          </rPr>
          <t>tar was used;
split in 64 MB
parts</t>
        </r>
      </text>
    </comment>
    <comment ref="O87" authorId="2" shapeId="0">
      <text>
        <r>
          <rPr>
            <b/>
            <sz val="9"/>
            <color indexed="81"/>
            <rFont val="Tahoma"/>
            <family val="2"/>
          </rPr>
          <t>tar was used;
split in 64 MB
parts</t>
        </r>
      </text>
    </comment>
    <comment ref="P87" authorId="2" shapeId="0">
      <text>
        <r>
          <rPr>
            <b/>
            <sz val="9"/>
            <color indexed="81"/>
            <rFont val="Tahoma"/>
            <family val="2"/>
          </rPr>
          <t>tar was used;
split in 64 MB
parts</t>
        </r>
      </text>
    </comment>
    <comment ref="Q87" authorId="2" shapeId="0">
      <text>
        <r>
          <rPr>
            <b/>
            <sz val="9"/>
            <color indexed="81"/>
            <rFont val="Tahoma"/>
            <family val="2"/>
          </rPr>
          <t>tar was used;
split in 64 MB
parts</t>
        </r>
      </text>
    </comment>
    <comment ref="C95" authorId="2" shapeId="0">
      <text>
        <r>
          <rPr>
            <b/>
            <sz val="9"/>
            <color indexed="81"/>
            <rFont val="Tahoma"/>
            <family val="2"/>
          </rPr>
          <t>java -Xms1512m -Xmx2024m -jar barred.jar -c &lt;input_file&gt; Ouput.bar -b 100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105" authorId="1" shapeId="0">
      <text>
        <r>
          <rPr>
            <b/>
            <sz val="9"/>
            <color indexed="81"/>
            <rFont val="Tahoma"/>
            <family val="2"/>
          </rPr>
          <t>ERROR - Compressed output buffer memory allocation failed</t>
        </r>
      </text>
    </comment>
  </commentList>
</comments>
</file>

<file path=xl/comments3.xml><?xml version="1.0" encoding="utf-8"?>
<comments xmlns="http://schemas.openxmlformats.org/spreadsheetml/2006/main">
  <authors>
    <author>Autor</author>
    <author>SqueezeChart2014</author>
  </authors>
  <commentList>
    <comment ref="F12" authorId="0" shapeId="0">
      <text>
        <r>
          <rPr>
            <b/>
            <sz val="9"/>
            <color indexed="81"/>
            <rFont val="Tahoma"/>
            <family val="2"/>
          </rPr>
          <t>úsing 16 bit here; online is 24 bit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5" authorId="1" shapeId="0">
      <text>
        <r>
          <rPr>
            <b/>
            <sz val="9"/>
            <color indexed="81"/>
            <rFont val="Tahoma"/>
            <family val="2"/>
          </rPr>
          <t>Delta coder on</t>
        </r>
      </text>
    </comment>
    <comment ref="B51" authorId="1" shapeId="0">
      <text>
        <r>
          <rPr>
            <b/>
            <sz val="9"/>
            <color indexed="81"/>
            <rFont val="Tahoma"/>
            <family val="2"/>
          </rPr>
          <t>Delta coder on
Colorspace (RGB) off</t>
        </r>
      </text>
    </comment>
    <comment ref="B66" authorId="0" shapeId="0">
      <text>
        <r>
          <rPr>
            <sz val="9"/>
            <color indexed="81"/>
            <rFont val="Tahoma"/>
            <family val="2"/>
          </rPr>
          <t xml:space="preserve">
contains both highest quality lossy BR and lossless track
</t>
        </r>
      </text>
    </comment>
    <comment ref="B87" authorId="0" shapeId="0">
      <text>
        <r>
          <rPr>
            <b/>
            <sz val="9"/>
            <color indexed="81"/>
            <rFont val="Tahoma"/>
            <family val="2"/>
          </rPr>
          <t>java -jar onda.jar</t>
        </r>
      </text>
    </comment>
    <comment ref="B154" authorId="1" shapeId="0">
      <text>
        <r>
          <rPr>
            <b/>
            <sz val="9"/>
            <color indexed="81"/>
            <rFont val="Tahoma"/>
            <family val="2"/>
          </rPr>
          <t>Delta coder on
Colorspace (RGB) off</t>
        </r>
      </text>
    </comment>
    <comment ref="B155" authorId="1" shapeId="0">
      <text>
        <r>
          <rPr>
            <b/>
            <sz val="9"/>
            <color indexed="81"/>
            <rFont val="Tahoma"/>
            <family val="2"/>
          </rPr>
          <t>Delta coder on</t>
        </r>
      </text>
    </comment>
    <comment ref="B184" authorId="0" shapeId="0">
      <text>
        <r>
          <rPr>
            <sz val="9"/>
            <color indexed="81"/>
            <rFont val="Tahoma"/>
            <family val="2"/>
          </rPr>
          <t xml:space="preserve">
contains both highest quality lossy BR and lossless track
</t>
        </r>
      </text>
    </comment>
    <comment ref="B187" authorId="0" shapeId="0">
      <text>
        <r>
          <rPr>
            <b/>
            <sz val="9"/>
            <color indexed="81"/>
            <rFont val="Tahoma"/>
            <family val="2"/>
          </rPr>
          <t>java -jar onda.jar</t>
        </r>
      </text>
    </comment>
  </commentList>
</comments>
</file>

<file path=xl/comments4.xml><?xml version="1.0" encoding="utf-8"?>
<comments xmlns="http://schemas.openxmlformats.org/spreadsheetml/2006/main">
  <authors>
    <author>Autor</author>
  </authors>
  <commentList>
    <comment ref="B42" authorId="0" shapeId="0">
      <text>
        <r>
          <rPr>
            <b/>
            <sz val="9"/>
            <color indexed="81"/>
            <rFont val="Tahoma"/>
            <family val="2"/>
          </rPr>
          <t>* use blake2 checksums
* use file as reference
* don't store data for fast opening
* don't store precision time</t>
        </r>
      </text>
    </comment>
  </commentList>
</comments>
</file>

<file path=xl/comments5.xml><?xml version="1.0" encoding="utf-8"?>
<comments xmlns="http://schemas.openxmlformats.org/spreadsheetml/2006/main">
  <authors>
    <author>SqueezeChart2014</author>
  </authors>
  <commentList>
    <comment ref="B20" authorId="0" shapeId="0">
      <text>
        <r>
          <rPr>
            <b/>
            <sz val="9"/>
            <color indexed="81"/>
            <rFont val="Tahoma"/>
            <family val="2"/>
          </rPr>
          <t>Delta coder off
Colorspace (RGB) off</t>
        </r>
      </text>
    </comment>
    <comment ref="B26" authorId="0" shapeId="0">
      <text>
        <r>
          <rPr>
            <b/>
            <sz val="9"/>
            <color indexed="81"/>
            <rFont val="Tahoma"/>
            <family val="2"/>
          </rPr>
          <t>Delta coder on
Colorspace (RGB) off</t>
        </r>
      </text>
    </comment>
    <comment ref="B37" authorId="0" shapeId="0">
      <text>
        <r>
          <rPr>
            <b/>
            <sz val="9"/>
            <color indexed="81"/>
            <rFont val="Tahoma"/>
            <family val="2"/>
          </rPr>
          <t>Delta coder on
Colorspace (RGB) off</t>
        </r>
      </text>
    </comment>
    <comment ref="B38" authorId="0" shapeId="0">
      <text>
        <r>
          <rPr>
            <b/>
            <sz val="9"/>
            <color indexed="81"/>
            <rFont val="Tahoma"/>
            <family val="2"/>
          </rPr>
          <t>Delta coder on
Colorspace (RGB) off</t>
        </r>
      </text>
    </comment>
    <comment ref="B52" authorId="0" shapeId="0">
      <text>
        <r>
          <rPr>
            <b/>
            <sz val="9"/>
            <color indexed="81"/>
            <rFont val="Tahoma"/>
            <family val="2"/>
          </rPr>
          <t>Delta coder on
Colorspace (RGB) on</t>
        </r>
      </text>
    </comment>
    <comment ref="B109" authorId="0" shapeId="0">
      <text>
        <r>
          <rPr>
            <b/>
            <sz val="9"/>
            <color indexed="81"/>
            <rFont val="Tahoma"/>
            <family val="2"/>
          </rPr>
          <t>Delta coder on
Colorspace (RGB) off</t>
        </r>
      </text>
    </comment>
    <comment ref="B110" authorId="0" shapeId="0">
      <text>
        <r>
          <rPr>
            <b/>
            <sz val="9"/>
            <color indexed="81"/>
            <rFont val="Tahoma"/>
            <family val="2"/>
          </rPr>
          <t>Delta coder on
Colorspace (RGB) off</t>
        </r>
      </text>
    </comment>
    <comment ref="B114" authorId="0" shapeId="0">
      <text>
        <r>
          <rPr>
            <b/>
            <sz val="9"/>
            <color indexed="81"/>
            <rFont val="Tahoma"/>
            <family val="2"/>
          </rPr>
          <t>Delta coder on
Colorspace (RGB) off</t>
        </r>
      </text>
    </comment>
    <comment ref="B115" authorId="0" shapeId="0">
      <text>
        <r>
          <rPr>
            <b/>
            <sz val="9"/>
            <color indexed="81"/>
            <rFont val="Tahoma"/>
            <family val="2"/>
          </rPr>
          <t>Delta coder on
Colorspace (RGB) off</t>
        </r>
      </text>
    </comment>
    <comment ref="B120" authorId="0" shapeId="0">
      <text>
        <r>
          <rPr>
            <b/>
            <sz val="9"/>
            <color indexed="81"/>
            <rFont val="Tahoma"/>
            <family val="2"/>
          </rPr>
          <t>Delta coder on
Colorspace (RGB) on</t>
        </r>
      </text>
    </comment>
    <comment ref="B297" authorId="0" shapeId="0">
      <text>
        <r>
          <rPr>
            <b/>
            <sz val="9"/>
            <color indexed="81"/>
            <rFont val="Tahoma"/>
            <family val="2"/>
          </rPr>
          <t>Delta coder on
Colorspace (RGB) off</t>
        </r>
      </text>
    </comment>
    <comment ref="B306" authorId="0" shapeId="0">
      <text>
        <r>
          <rPr>
            <b/>
            <sz val="9"/>
            <color indexed="81"/>
            <rFont val="Tahoma"/>
            <family val="2"/>
          </rPr>
          <t>Delta coder on
Colorspace (RGB) off</t>
        </r>
      </text>
    </comment>
    <comment ref="B307" authorId="0" shapeId="0">
      <text>
        <r>
          <rPr>
            <b/>
            <sz val="9"/>
            <color indexed="81"/>
            <rFont val="Tahoma"/>
            <family val="2"/>
          </rPr>
          <t>Delta coder on
Colorspace (RGB) off</t>
        </r>
      </text>
    </comment>
    <comment ref="B308" authorId="0" shapeId="0">
      <text>
        <r>
          <rPr>
            <b/>
            <sz val="9"/>
            <color indexed="81"/>
            <rFont val="Tahoma"/>
            <family val="2"/>
          </rPr>
          <t>Delta coder on
Colorspace (RGB) off</t>
        </r>
      </text>
    </comment>
    <comment ref="B312" authorId="0" shapeId="0">
      <text>
        <r>
          <rPr>
            <b/>
            <sz val="9"/>
            <color indexed="81"/>
            <rFont val="Tahoma"/>
            <family val="2"/>
          </rPr>
          <t>Delta coder on
Colorspace (RGB) off</t>
        </r>
      </text>
    </comment>
  </commentList>
</comments>
</file>

<file path=xl/comments6.xml><?xml version="1.0" encoding="utf-8"?>
<comments xmlns="http://schemas.openxmlformats.org/spreadsheetml/2006/main">
  <authors>
    <author>SqueezeChart2014</author>
    <author>Autor</author>
  </authors>
  <commentList>
    <comment ref="F31" authorId="0" shapeId="0">
      <text>
        <r>
          <rPr>
            <b/>
            <sz val="9"/>
            <color indexed="81"/>
            <rFont val="Tahoma"/>
            <family val="2"/>
          </rPr>
          <t>Models:
Sparse, Record, JPEG, GIF
low, lowest memory
order 6, mixing complex = medium
probability refinement = level 1
all transforms enabled
no dictionaries</t>
        </r>
      </text>
    </comment>
    <comment ref="A32" authorId="0" shapeId="0">
      <text>
        <r>
          <rPr>
            <b/>
            <sz val="9"/>
            <color indexed="81"/>
            <rFont val="Tahoma"/>
            <family val="2"/>
          </rPr>
          <t>Models:
Sparse, Record, JPEG, GIF
low, lowest memory
order 6, mixing complex = medium
probability refinement = level 1
all transforms enabled
no dictionaries</t>
        </r>
      </text>
    </comment>
    <comment ref="A40" authorId="0" shapeId="0">
      <text>
        <r>
          <rPr>
            <b/>
            <sz val="9"/>
            <color indexed="81"/>
            <rFont val="Tahoma"/>
            <family val="2"/>
          </rPr>
          <t>Models:
Audio, Image, x85, JPEG, GIF
all transforms enabled
no dictionaries</t>
        </r>
      </text>
    </comment>
    <comment ref="F59" authorId="0" shapeId="0">
      <text>
        <r>
          <rPr>
            <b/>
            <sz val="9"/>
            <color indexed="81"/>
            <rFont val="Tahoma"/>
            <family val="2"/>
          </rPr>
          <t>Models:
Audio, Image, x85, JPEG, GIF
all transforms enabled
no dictionaries</t>
        </r>
      </text>
    </comment>
    <comment ref="F80" authorId="0" shapeId="0">
      <text>
        <r>
          <rPr>
            <b/>
            <sz val="9"/>
            <color indexed="81"/>
            <rFont val="Tahoma"/>
            <family val="2"/>
          </rPr>
          <t>Models:
Sparse, Record, JPEG, GIF
low, lowest memory
order 6, mixing complex = medium
probability refinement = level 1
all transforms enabled
no dictionaries</t>
        </r>
      </text>
    </comment>
    <comment ref="F82" authorId="0" shapeId="0">
      <text>
        <r>
          <rPr>
            <b/>
            <sz val="9"/>
            <color indexed="81"/>
            <rFont val="Tahoma"/>
            <family val="2"/>
          </rPr>
          <t>Models:
Audio, Image, x85, JPEG, GIF
all transforms enabled
no dictionaries</t>
        </r>
      </text>
    </comment>
    <comment ref="A91" authorId="0" shapeId="0">
      <text>
        <r>
          <rPr>
            <b/>
            <sz val="9"/>
            <color indexed="81"/>
            <rFont val="Tahoma"/>
            <family val="2"/>
          </rPr>
          <t>Models:
Sparse, Record, JPEG, GIF
low, lowest memory
order 6, mixing complex = medium
probability refinement = level 1
all transforms enabled
no dictionaries</t>
        </r>
      </text>
    </comment>
    <comment ref="A102" authorId="0" shapeId="0">
      <text>
        <r>
          <rPr>
            <b/>
            <sz val="9"/>
            <color indexed="81"/>
            <rFont val="Tahoma"/>
            <family val="2"/>
          </rPr>
          <t>Models:
Audio, Image, x85, JPEG, GIF
all transforms enabled
no dictionaries</t>
        </r>
      </text>
    </comment>
    <comment ref="A134" authorId="0" shapeId="0">
      <text>
        <r>
          <rPr>
            <b/>
            <sz val="9"/>
            <color indexed="81"/>
            <rFont val="Tahoma"/>
            <family val="2"/>
          </rPr>
          <t>Delta coder on</t>
        </r>
      </text>
    </comment>
    <comment ref="A189" authorId="0" shapeId="0">
      <text>
        <r>
          <rPr>
            <b/>
            <sz val="9"/>
            <color indexed="81"/>
            <rFont val="Tahoma"/>
            <family val="2"/>
          </rPr>
          <t>Models:
+ Sparse (64MB, high)
+ Record (64MB, high)</t>
        </r>
      </text>
    </comment>
    <comment ref="F195" authorId="0" shapeId="0">
      <text>
        <r>
          <rPr>
            <b/>
            <sz val="9"/>
            <color indexed="81"/>
            <rFont val="Tahoma"/>
            <family val="2"/>
          </rPr>
          <t>Models:
+ Sparse (64MB, high)
+ Record (64MB, high)</t>
        </r>
      </text>
    </comment>
    <comment ref="F196" authorId="0" shapeId="0">
      <text>
        <r>
          <rPr>
            <b/>
            <sz val="9"/>
            <color indexed="81"/>
            <rFont val="Tahoma"/>
            <family val="2"/>
          </rPr>
          <t>Models:
Sparse, Record, JPEG, GIF
low, lowest memory
order 6, mixing complex = medium
probability refinement = level 1
all transforms enabled
no dictionaries</t>
        </r>
      </text>
    </comment>
    <comment ref="F200" authorId="0" shapeId="0">
      <text>
        <r>
          <rPr>
            <b/>
            <sz val="9"/>
            <color indexed="81"/>
            <rFont val="Tahoma"/>
            <family val="2"/>
          </rPr>
          <t>Models:
all, high, largest memory, ring buffer 128 MB
order 9, mixing complex = insane
probability refinement = level 3
transforms enabled: executable code, color space (RGB)
no dictionaries</t>
        </r>
      </text>
    </comment>
    <comment ref="A202" authorId="0" shapeId="0">
      <text>
        <r>
          <rPr>
            <b/>
            <sz val="9"/>
            <color indexed="81"/>
            <rFont val="Tahoma"/>
            <family val="2"/>
          </rPr>
          <t>Models:
Sparse, Record, JPEG, GIF
low, lowest memory
order 6, mixing complex = medium
probability refinement = level 1
all transforms enabled
no dictionaries</t>
        </r>
      </text>
    </comment>
    <comment ref="A209" authorId="0" shapeId="0">
      <text>
        <r>
          <rPr>
            <b/>
            <sz val="9"/>
            <color indexed="81"/>
            <rFont val="Tahoma"/>
            <family val="2"/>
          </rPr>
          <t>Models:
Audio, Image, x85, JPEG, GIF
all transforms enabled
no dictionaries</t>
        </r>
      </text>
    </comment>
    <comment ref="F210" authorId="0" shapeId="0">
      <text>
        <r>
          <rPr>
            <b/>
            <sz val="9"/>
            <color indexed="81"/>
            <rFont val="Tahoma"/>
            <family val="2"/>
          </rPr>
          <t>Models:
Audio, Image, x85, JPEG, GIF
all transforms enabled
no dictionaries</t>
        </r>
      </text>
    </comment>
    <comment ref="A258" authorId="0" shapeId="0">
      <text>
        <r>
          <rPr>
            <b/>
            <sz val="9"/>
            <color indexed="81"/>
            <rFont val="Tahoma"/>
            <family val="2"/>
          </rPr>
          <t>Models:
Sparse, Record, JPEG, GIF
low, lowest memory
order 6, mixing complex = medium
probability refinement = level 1
all transforms enabled
no dictionaries</t>
        </r>
      </text>
    </comment>
    <comment ref="F258" authorId="0" shapeId="0">
      <text>
        <r>
          <rPr>
            <b/>
            <sz val="9"/>
            <color indexed="81"/>
            <rFont val="Tahoma"/>
            <family val="2"/>
          </rPr>
          <t>Models:
Sparse, Record, JPEG, GIF
low, lowest memory
order 6, mixing complex = medium
probability refinement = level 1
all transforms enabled
no dictionaries</t>
        </r>
      </text>
    </comment>
    <comment ref="F265" authorId="0" shapeId="0">
      <text>
        <r>
          <rPr>
            <b/>
            <sz val="9"/>
            <color indexed="81"/>
            <rFont val="Tahoma"/>
            <family val="2"/>
          </rPr>
          <t>Models:
+ Sparse (64MB, high)
+ Record (64MB, high)</t>
        </r>
      </text>
    </comment>
    <comment ref="A268" authorId="0" shapeId="0">
      <text>
        <r>
          <rPr>
            <b/>
            <sz val="9"/>
            <color indexed="81"/>
            <rFont val="Tahoma"/>
            <family val="2"/>
          </rPr>
          <t>Models:
Audio, Image, x85, JPEG, GIF
all transforms enabled
no dictionaries</t>
        </r>
      </text>
    </comment>
    <comment ref="F280" authorId="0" shapeId="0">
      <text>
        <r>
          <rPr>
            <b/>
            <sz val="9"/>
            <color indexed="81"/>
            <rFont val="Tahoma"/>
            <family val="2"/>
          </rPr>
          <t>Models:
Audio, Image, x85, JPEG, GIF
all transforms enabled
no dictionaries</t>
        </r>
      </text>
    </comment>
    <comment ref="F309" authorId="0" shapeId="0">
      <text>
        <r>
          <rPr>
            <b/>
            <sz val="9"/>
            <color indexed="81"/>
            <rFont val="Tahoma"/>
            <family val="2"/>
          </rPr>
          <t>Models:
+ Sparse (64MB, high)
+ Record (64MB, high)</t>
        </r>
      </text>
    </comment>
    <comment ref="A313" authorId="0" shapeId="0">
      <text>
        <r>
          <rPr>
            <b/>
            <sz val="9"/>
            <color indexed="81"/>
            <rFont val="Tahoma"/>
            <family val="2"/>
          </rPr>
          <t>Models:
+ Sparse (64MB, high)
+ Record (64MB, high)</t>
        </r>
      </text>
    </comment>
    <comment ref="F313" authorId="0" shapeId="0">
      <text>
        <r>
          <rPr>
            <b/>
            <sz val="9"/>
            <color indexed="81"/>
            <rFont val="Tahoma"/>
            <family val="2"/>
          </rPr>
          <t>Models:
Sparse, Record, JPEG, GIF
low, lowest memory
order 6, mixing complex = medium
probability refinement = level 1
all transforms enabled
no dictionaries</t>
        </r>
      </text>
    </comment>
    <comment ref="A316" authorId="0" shapeId="0">
      <text>
        <r>
          <rPr>
            <b/>
            <sz val="9"/>
            <color indexed="81"/>
            <rFont val="Tahoma"/>
            <family val="2"/>
          </rPr>
          <t>Models:
Sparse, Record, JPEG, GIF
low, lowest memory
order 6, mixing complex = medium
probability refinement = level 1
all transforms enabled
no dictionaries</t>
        </r>
      </text>
    </comment>
    <comment ref="F331" authorId="0" shapeId="0">
      <text>
        <r>
          <rPr>
            <b/>
            <sz val="9"/>
            <color indexed="81"/>
            <rFont val="Tahoma"/>
            <family val="2"/>
          </rPr>
          <t>Models:
Audio, Image, x85, JPEG, GIF
all transforms enabled
no dictionaries</t>
        </r>
      </text>
    </comment>
    <comment ref="A340" authorId="0" shapeId="0">
      <text>
        <r>
          <rPr>
            <b/>
            <sz val="9"/>
            <color indexed="81"/>
            <rFont val="Tahoma"/>
            <family val="2"/>
          </rPr>
          <t>Models:
Audio, Image, x85, JPEG, GIF
all transforms enabled
no dictionaries</t>
        </r>
      </text>
    </comment>
    <comment ref="A375" authorId="0" shapeId="0">
      <text>
        <r>
          <rPr>
            <b/>
            <sz val="9"/>
            <color indexed="81"/>
            <rFont val="Tahoma"/>
            <family val="2"/>
          </rPr>
          <t>Models:
+ Sparse (64MB, high)
+ Record (64MB, high)</t>
        </r>
      </text>
    </comment>
    <comment ref="A380" authorId="0" shapeId="0">
      <text>
        <r>
          <rPr>
            <b/>
            <sz val="9"/>
            <color indexed="81"/>
            <rFont val="Tahoma"/>
            <family val="2"/>
          </rPr>
          <t>Models:
Sparse, Record, JPEG, GIF
low, lowest memory
order 6, mixing complex = medium
probability refinement = level 1
all transforms enabled
no dictionaries</t>
        </r>
      </text>
    </comment>
    <comment ref="F385" authorId="0" shapeId="0">
      <text>
        <r>
          <rPr>
            <b/>
            <sz val="9"/>
            <color indexed="81"/>
            <rFont val="Tahoma"/>
            <family val="2"/>
          </rPr>
          <t>Models:
Sparse, Record, JPEG, GIF
low, lowest memory
order 6, mixing complex = medium
probability refinement = level 1
all transforms enabled
no dictionaries</t>
        </r>
      </text>
    </comment>
    <comment ref="A388" authorId="0" shapeId="0">
      <text>
        <r>
          <rPr>
            <b/>
            <sz val="9"/>
            <color indexed="81"/>
            <rFont val="Tahoma"/>
            <family val="2"/>
          </rPr>
          <t>Models:
Audio, Image, x85, JPEG, GIF
all transforms enabled
no dictionaries</t>
        </r>
      </text>
    </comment>
    <comment ref="F427" authorId="0" shapeId="0">
      <text>
        <r>
          <rPr>
            <b/>
            <sz val="9"/>
            <color indexed="81"/>
            <rFont val="Tahoma"/>
            <family val="2"/>
          </rPr>
          <t>Models:
+ Sparse (64MB, high)
+ Record (64MB, high)</t>
        </r>
      </text>
    </comment>
    <comment ref="A432" authorId="0" shapeId="0">
      <text>
        <r>
          <rPr>
            <b/>
            <sz val="9"/>
            <color indexed="81"/>
            <rFont val="Tahoma"/>
            <family val="2"/>
          </rPr>
          <t>Models:
+ Sparse (64MB, high)
+ Record (64MB, high)</t>
        </r>
      </text>
    </comment>
    <comment ref="F441" authorId="0" shapeId="0">
      <text>
        <r>
          <rPr>
            <b/>
            <sz val="9"/>
            <color indexed="81"/>
            <rFont val="Tahoma"/>
            <family val="2"/>
          </rPr>
          <t>Models:
Sparse, Record, JPEG, GIF
low, lowest memory
order 6, mixing complex = medium
probability refinement = level 1
all transforms enabled
no dictionaries</t>
        </r>
      </text>
    </comment>
    <comment ref="A445" authorId="0" shapeId="0">
      <text>
        <r>
          <rPr>
            <b/>
            <sz val="9"/>
            <color indexed="81"/>
            <rFont val="Tahoma"/>
            <family val="2"/>
          </rPr>
          <t>Models:
Sparse, Record, JPEG, GIF
low, lowest memory
order 6, mixing complex = medium
probability refinement = level 1
all transforms enabled
no dictionaries</t>
        </r>
      </text>
    </comment>
    <comment ref="F454" authorId="0" shapeId="0">
      <text>
        <r>
          <rPr>
            <b/>
            <sz val="9"/>
            <color indexed="81"/>
            <rFont val="Tahoma"/>
            <family val="2"/>
          </rPr>
          <t>Models:
Audio, Image, x85, JPEG, GIF
all transforms enabled
no dictionaries</t>
        </r>
      </text>
    </comment>
    <comment ref="A455" authorId="0" shapeId="0">
      <text>
        <r>
          <rPr>
            <b/>
            <sz val="9"/>
            <color indexed="81"/>
            <rFont val="Tahoma"/>
            <family val="2"/>
          </rPr>
          <t>Models:
Audio, Image, x85, JPEG, GIF
all transforms enabled
no dictionaries</t>
        </r>
      </text>
    </comment>
    <comment ref="F496" authorId="0" shapeId="0">
      <text>
        <r>
          <rPr>
            <b/>
            <sz val="9"/>
            <color indexed="81"/>
            <rFont val="Tahoma"/>
            <family val="2"/>
          </rPr>
          <t>Models:
+ Sparse (64MB, high)
+ Record (64MB, high)</t>
        </r>
      </text>
    </comment>
    <comment ref="A499" authorId="0" shapeId="0">
      <text>
        <r>
          <rPr>
            <b/>
            <sz val="9"/>
            <color indexed="81"/>
            <rFont val="Tahoma"/>
            <family val="2"/>
          </rPr>
          <t>Models:
+ Sparse (64MB, high)
+ Record (64MB, high)</t>
        </r>
      </text>
    </comment>
    <comment ref="F500" authorId="0" shapeId="0">
      <text>
        <r>
          <rPr>
            <b/>
            <sz val="9"/>
            <color indexed="81"/>
            <rFont val="Tahoma"/>
            <family val="2"/>
          </rPr>
          <t>Models:
Sparse, Record, JPEG, GIF
low, lowest memory
order 6, mixing complex = medium
probability refinement = level 1
all transforms enabled
no dictionaries</t>
        </r>
      </text>
    </comment>
    <comment ref="A501" authorId="0" shapeId="0">
      <text>
        <r>
          <rPr>
            <b/>
            <sz val="9"/>
            <color indexed="81"/>
            <rFont val="Tahoma"/>
            <family val="2"/>
          </rPr>
          <t>Models:
Sparse, Record, JPEG, GIF
low, lowest memory
order 6, mixing complex = medium
probability refinement = level 1
all transforms enabled
no dictionaries</t>
        </r>
      </text>
    </comment>
    <comment ref="A516" authorId="0" shapeId="0">
      <text>
        <r>
          <rPr>
            <b/>
            <sz val="9"/>
            <color indexed="81"/>
            <rFont val="Tahoma"/>
            <family val="2"/>
          </rPr>
          <t>Models:
Audio, Image, x85, JPEG, GIF
all transforms enabled
no dictionaries</t>
        </r>
      </text>
    </comment>
    <comment ref="F517" authorId="0" shapeId="0">
      <text>
        <r>
          <rPr>
            <b/>
            <sz val="9"/>
            <color indexed="81"/>
            <rFont val="Tahoma"/>
            <family val="2"/>
          </rPr>
          <t>Models:
Audio, Image, x85, JPEG, GIF
all transforms enabled
no dictionaries</t>
        </r>
      </text>
    </comment>
    <comment ref="F554" authorId="0" shapeId="0">
      <text>
        <r>
          <rPr>
            <b/>
            <sz val="9"/>
            <color indexed="81"/>
            <rFont val="Tahoma"/>
            <family val="2"/>
          </rPr>
          <t>Models:
+ Sparse (64MB, high)
+ Record (64MB, high)</t>
        </r>
      </text>
    </comment>
    <comment ref="A557" authorId="0" shapeId="0">
      <text>
        <r>
          <rPr>
            <b/>
            <sz val="9"/>
            <color indexed="81"/>
            <rFont val="Tahoma"/>
            <family val="2"/>
          </rPr>
          <t>Models:
+ Sparse (64MB, high)
+ Record (64MB, high)</t>
        </r>
      </text>
    </comment>
    <comment ref="A560" authorId="0" shapeId="0">
      <text>
        <r>
          <rPr>
            <b/>
            <sz val="9"/>
            <color indexed="81"/>
            <rFont val="Tahoma"/>
            <family val="2"/>
          </rPr>
          <t>Models:
Sparse, Record, JPEG, GIF
low, lowest memory
order 6, mixing complex = medium
probability refinement = level 1
all transforms enabled
no dictionaries</t>
        </r>
      </text>
    </comment>
    <comment ref="F567" authorId="0" shapeId="0">
      <text>
        <r>
          <rPr>
            <b/>
            <sz val="9"/>
            <color indexed="81"/>
            <rFont val="Tahoma"/>
            <family val="2"/>
          </rPr>
          <t>Models:
Sparse, Record, JPEG, GIF
low, lowest memory
order 6, mixing complex = medium
probability refinement = level 1
all transforms enabled
no dictionaries</t>
        </r>
      </text>
    </comment>
    <comment ref="F570" authorId="0" shapeId="0">
      <text>
        <r>
          <rPr>
            <b/>
            <sz val="9"/>
            <color indexed="81"/>
            <rFont val="Tahoma"/>
            <family val="2"/>
          </rPr>
          <t>Models:
Audio, Image, x85, JPEG, GIF
all transforms enabled
no dictionaries</t>
        </r>
      </text>
    </comment>
    <comment ref="A578" authorId="0" shapeId="0">
      <text>
        <r>
          <rPr>
            <b/>
            <sz val="9"/>
            <color indexed="81"/>
            <rFont val="Tahoma"/>
            <family val="2"/>
          </rPr>
          <t>Models:
Audio, Image, x85, JPEG, GIF
all transforms enabled
no dictionaries</t>
        </r>
      </text>
    </comment>
    <comment ref="F624" authorId="0" shapeId="0">
      <text>
        <r>
          <rPr>
            <b/>
            <sz val="9"/>
            <color indexed="81"/>
            <rFont val="Tahoma"/>
            <family val="2"/>
          </rPr>
          <t>Models:
Sparse, Record, JPEG, GIF
low, lowest memory
order 6, mixing complex = medium
probability refinement = level 1
all transforms enabled
no dictionaries</t>
        </r>
      </text>
    </comment>
    <comment ref="A630" authorId="0" shapeId="0">
      <text>
        <r>
          <rPr>
            <b/>
            <sz val="9"/>
            <color indexed="81"/>
            <rFont val="Tahoma"/>
            <family val="2"/>
          </rPr>
          <t>Models:
Sparse, Record, JPEG, GIF
low, lowest memory
order 6, mixing complex = medium
probability refinement = level 1
all transforms enabled
no dictionaries</t>
        </r>
      </text>
    </comment>
    <comment ref="F637" authorId="0" shapeId="0">
      <text>
        <r>
          <rPr>
            <b/>
            <sz val="9"/>
            <color indexed="81"/>
            <rFont val="Tahoma"/>
            <family val="2"/>
          </rPr>
          <t>Models:
Audio, Image, x85, JPEG, GIF
all transforms enabled
no dictionaries</t>
        </r>
      </text>
    </comment>
    <comment ref="A644" authorId="0" shapeId="0">
      <text>
        <r>
          <rPr>
            <b/>
            <sz val="9"/>
            <color indexed="81"/>
            <rFont val="Tahoma"/>
            <family val="2"/>
          </rPr>
          <t>Models:
Audio, Image, x85, JPEG, GIF
all transforms enabled
no dictionaries</t>
        </r>
      </text>
    </comment>
    <comment ref="F694" authorId="0" shapeId="0">
      <text>
        <r>
          <rPr>
            <b/>
            <sz val="9"/>
            <color indexed="81"/>
            <rFont val="Tahoma"/>
            <family val="2"/>
          </rPr>
          <t>Models:
Sparse, Record, JPEG, GIF
low, lowest memory
order 6, mixing complex = medium
probability refinement = level 1
all transforms enabled
no dictionaries</t>
        </r>
      </text>
    </comment>
    <comment ref="F701" authorId="0" shapeId="0">
      <text>
        <r>
          <rPr>
            <b/>
            <sz val="9"/>
            <color indexed="81"/>
            <rFont val="Tahoma"/>
            <family val="2"/>
          </rPr>
          <t>Models:
Audio, Image, x85, JPEG, GIF
all transforms enabled
no dictionaries</t>
        </r>
      </text>
    </comment>
    <comment ref="A702" authorId="0" shapeId="0">
      <text>
        <r>
          <rPr>
            <b/>
            <sz val="9"/>
            <color indexed="81"/>
            <rFont val="Tahoma"/>
            <family val="2"/>
          </rPr>
          <t>Models:
Sparse, Record, JPEG, GIF
low, lowest memory
order 6, mixing complex = medium
probability refinement = level 1
all transforms enabled
no dictionaries</t>
        </r>
      </text>
    </comment>
    <comment ref="A703" authorId="0" shapeId="0">
      <text>
        <r>
          <rPr>
            <b/>
            <sz val="9"/>
            <color indexed="81"/>
            <rFont val="Tahoma"/>
            <family val="2"/>
          </rPr>
          <t>Models:
Audio, Image, x85, JPEG, GIF
all transforms enabled
no dictionaries</t>
        </r>
      </text>
    </comment>
    <comment ref="A779" authorId="0" shapeId="0">
      <text>
        <r>
          <rPr>
            <b/>
            <sz val="9"/>
            <color indexed="81"/>
            <rFont val="Tahoma"/>
            <family val="2"/>
          </rPr>
          <t>Models:
Sparse, Record, JPEG, GIF
low, lowest memory
order 6, mixing complex = medium
probability refinement = level 1
all transforms enabled
no dictionaries</t>
        </r>
      </text>
    </comment>
    <comment ref="A786" authorId="0" shapeId="0">
      <text>
        <r>
          <rPr>
            <b/>
            <sz val="9"/>
            <color indexed="81"/>
            <rFont val="Tahoma"/>
            <family val="2"/>
          </rPr>
          <t>Models:
Audio, Image, x85, JPEG, GIF
all transforms enabled
no dictionaries</t>
        </r>
      </text>
    </comment>
    <comment ref="A834" authorId="0" shapeId="0">
      <text>
        <r>
          <rPr>
            <b/>
            <sz val="9"/>
            <color indexed="81"/>
            <rFont val="Tahoma"/>
            <family val="2"/>
          </rPr>
          <t>Models:
Sparse, Record, JPEG, GIF
low, lowest memory
order 6, mixing complex = medium
probability refinement = level 1
all transforms enabled
no dictionaries</t>
        </r>
      </text>
    </comment>
    <comment ref="F835" authorId="0" shapeId="0">
      <text>
        <r>
          <rPr>
            <b/>
            <sz val="9"/>
            <color indexed="81"/>
            <rFont val="Tahoma"/>
            <family val="2"/>
          </rPr>
          <t>Models:
Sparse, Record, JPEG, GIF
low, lowest memory
order 6, mixing complex = medium
probability refinement = level 1
all transforms enabled
no dictionaries</t>
        </r>
      </text>
    </comment>
    <comment ref="A842" authorId="0" shapeId="0">
      <text>
        <r>
          <rPr>
            <b/>
            <sz val="9"/>
            <color indexed="81"/>
            <rFont val="Tahoma"/>
            <family val="2"/>
          </rPr>
          <t>Models:
Audio, Image, x85, JPEG, GIF
all transforms enabled
no dictionaries</t>
        </r>
      </text>
    </comment>
    <comment ref="F849" authorId="0" shapeId="0">
      <text>
        <r>
          <rPr>
            <b/>
            <sz val="9"/>
            <color indexed="81"/>
            <rFont val="Tahoma"/>
            <family val="2"/>
          </rPr>
          <t>Models:
Audio, Image, x85, JPEG, GIF
all transforms enabled
no dictionaries</t>
        </r>
      </text>
    </comment>
    <comment ref="A896" authorId="0" shapeId="0">
      <text>
        <r>
          <rPr>
            <b/>
            <sz val="9"/>
            <color indexed="81"/>
            <rFont val="Tahoma"/>
            <family val="2"/>
          </rPr>
          <t>Models:
Sparse, Record, JPEG, GIF, x86, Image
low, lowest memory
order 6, mixing complex = medium
probability refinement = level 1
all transforms enabled
no dictionaries</t>
        </r>
      </text>
    </comment>
    <comment ref="F909" authorId="0" shapeId="0">
      <text>
        <r>
          <rPr>
            <b/>
            <sz val="9"/>
            <color indexed="81"/>
            <rFont val="Tahoma"/>
            <family val="2"/>
          </rPr>
          <t>Models:
Sparse, Record, JPEG, GIF, x86, Image
low, lowest memory
order 6, mixing complex = medium
probability refinement = level 1
all transforms enabled
no dictionaries</t>
        </r>
      </text>
    </comment>
    <comment ref="F914" authorId="0" shapeId="0">
      <text>
        <r>
          <rPr>
            <b/>
            <sz val="9"/>
            <color indexed="81"/>
            <rFont val="Tahoma"/>
            <family val="2"/>
          </rPr>
          <t>Models:
Audio, Image, x85, JPEG, GIF
all transforms enabled
no dictionaries</t>
        </r>
      </text>
    </comment>
    <comment ref="A920" authorId="0" shapeId="0">
      <text>
        <r>
          <rPr>
            <b/>
            <sz val="9"/>
            <color indexed="81"/>
            <rFont val="Tahoma"/>
            <family val="2"/>
          </rPr>
          <t>Models:
Audio, Image, x85, JPEG, GIF
all transforms enabled
no dictionaries</t>
        </r>
      </text>
    </comment>
    <comment ref="A949" authorId="0" shapeId="0">
      <text>
        <r>
          <rPr>
            <b/>
            <sz val="9"/>
            <color indexed="81"/>
            <rFont val="Tahoma"/>
            <family val="2"/>
          </rPr>
          <t>Models:
Sparse, Record, JPEG, GIF, x86, Image
low, lowest memory
order 6, mixing complex = medium
probability refinement = level 1
all transforms enabled
no dictionaries</t>
        </r>
      </text>
    </comment>
    <comment ref="A970" authorId="0" shapeId="0">
      <text>
        <r>
          <rPr>
            <b/>
            <sz val="9"/>
            <color indexed="81"/>
            <rFont val="Tahoma"/>
            <family val="2"/>
          </rPr>
          <t>Models:
Audio, Image, x85, JPEG, GIF
all transforms enabled
no dictionaries</t>
        </r>
      </text>
    </comment>
    <comment ref="F971" authorId="0" shapeId="0">
      <text>
        <r>
          <rPr>
            <b/>
            <sz val="9"/>
            <color indexed="81"/>
            <rFont val="Tahoma"/>
            <family val="2"/>
          </rPr>
          <t>Models:
Sparse, Record, JPEG, GIF, x86, Image
low, lowest memory
order 6, mixing complex = medium
probability refinement = level 1
all transforms enabled
no dictionaries</t>
        </r>
      </text>
    </comment>
    <comment ref="F972" authorId="0" shapeId="0">
      <text>
        <r>
          <rPr>
            <b/>
            <sz val="9"/>
            <color indexed="81"/>
            <rFont val="Tahoma"/>
            <family val="2"/>
          </rPr>
          <t>Models:
Audio, Image, x85, JPEG, GIF
all transforms enabled
no dictionaries</t>
        </r>
      </text>
    </comment>
    <comment ref="A1022" authorId="0" shapeId="0">
      <text>
        <r>
          <rPr>
            <b/>
            <sz val="9"/>
            <color indexed="81"/>
            <rFont val="Tahoma"/>
            <family val="2"/>
          </rPr>
          <t>Models:
Sparse, Record, JPEG, GIF, x86, Image
low, lowest memory
order 6, mixing complex = medium
probability refinement = level 1
all transforms enabled
no dictionaries</t>
        </r>
      </text>
    </comment>
    <comment ref="A1027" authorId="0" shapeId="0">
      <text>
        <r>
          <rPr>
            <b/>
            <sz val="9"/>
            <color indexed="81"/>
            <rFont val="Tahoma"/>
            <family val="2"/>
          </rPr>
          <t>Models:
Audio, Image, x85, JPEG, GIF
all transforms enabled
no dictionaries</t>
        </r>
      </text>
    </comment>
    <comment ref="A1054" authorId="0" shapeId="0">
      <text>
        <r>
          <rPr>
            <b/>
            <sz val="9"/>
            <color indexed="81"/>
            <rFont val="Tahoma"/>
            <family val="2"/>
          </rPr>
          <t>Delta coder on</t>
        </r>
      </text>
    </comment>
    <comment ref="F1054" authorId="0" shapeId="0">
      <text>
        <r>
          <rPr>
            <b/>
            <sz val="9"/>
            <color indexed="81"/>
            <rFont val="Tahoma"/>
            <family val="2"/>
          </rPr>
          <t>Delta coder on</t>
        </r>
      </text>
    </comment>
    <comment ref="A1108" authorId="0" shapeId="0">
      <text>
        <r>
          <rPr>
            <b/>
            <sz val="9"/>
            <color indexed="81"/>
            <rFont val="Tahoma"/>
            <family val="2"/>
          </rPr>
          <t>Delta coder on</t>
        </r>
      </text>
    </comment>
    <comment ref="F1170" authorId="0" shapeId="0">
      <text>
        <r>
          <rPr>
            <b/>
            <sz val="9"/>
            <color indexed="81"/>
            <rFont val="Tahoma"/>
            <family val="2"/>
          </rPr>
          <t>Models:
Sparse, Record, JPEG, GIF
low, lowest memory
order 6, mixing complex = medium
probability refinement = level 1
all transforms enabled
no dictionaries</t>
        </r>
      </text>
    </comment>
    <comment ref="A1177" authorId="0" shapeId="0">
      <text>
        <r>
          <rPr>
            <b/>
            <sz val="9"/>
            <color indexed="81"/>
            <rFont val="Tahoma"/>
            <family val="2"/>
          </rPr>
          <t>Models:
Sparse, Record, JPEG, GIF
low, lowest memory
order 6, mixing complex = medium
probability refinement = level 1
all transforms enabled
no dictionaries</t>
        </r>
      </text>
    </comment>
    <comment ref="F1189" authorId="0" shapeId="0">
      <text>
        <r>
          <rPr>
            <b/>
            <sz val="9"/>
            <color indexed="81"/>
            <rFont val="Tahoma"/>
            <family val="2"/>
          </rPr>
          <t>Models:
Audio, Image, x85, JPEG, GIF
all transforms enabled
no dictionaries</t>
        </r>
      </text>
    </comment>
    <comment ref="A1191" authorId="0" shapeId="0">
      <text>
        <r>
          <rPr>
            <b/>
            <sz val="9"/>
            <color indexed="81"/>
            <rFont val="Tahoma"/>
            <family val="2"/>
          </rPr>
          <t>Models:
Audio, Image, x85, JPEG, GIF
all transforms enabled
no dictionaries</t>
        </r>
      </text>
    </comment>
    <comment ref="A1217" authorId="1" shapeId="0">
      <text>
        <r>
          <rPr>
            <b/>
            <sz val="9"/>
            <color indexed="81"/>
            <rFont val="Tahoma"/>
            <family val="2"/>
          </rPr>
          <t>decompression 99,7 sec</t>
        </r>
      </text>
    </comment>
    <comment ref="A1218" authorId="1" shapeId="0">
      <text>
        <r>
          <rPr>
            <b/>
            <sz val="9"/>
            <color indexed="81"/>
            <rFont val="Tahoma"/>
            <family val="2"/>
          </rPr>
          <t>decompression 99,7 sec</t>
        </r>
      </text>
    </comment>
    <comment ref="F1226" authorId="0" shapeId="0">
      <text>
        <r>
          <rPr>
            <b/>
            <sz val="9"/>
            <color indexed="81"/>
            <rFont val="Tahoma"/>
            <family val="2"/>
          </rPr>
          <t>Models:
Sparse, Record, JPEG, GIF
low, lowest memory
order 6, mixing complex = medium
probability refinement = level 1
all transforms enabled
no dictionaries</t>
        </r>
      </text>
    </comment>
    <comment ref="F1231" authorId="0" shapeId="0">
      <text>
        <r>
          <rPr>
            <b/>
            <sz val="9"/>
            <color indexed="81"/>
            <rFont val="Tahoma"/>
            <family val="2"/>
          </rPr>
          <t>Models:
Audio, Image, x85, JPEG, GIF
all transforms enabled
no dictionaries</t>
        </r>
      </text>
    </comment>
    <comment ref="A1232" authorId="0" shapeId="0">
      <text>
        <r>
          <rPr>
            <b/>
            <sz val="9"/>
            <color indexed="81"/>
            <rFont val="Tahoma"/>
            <family val="2"/>
          </rPr>
          <t>Models:
Sparse, Record, JPEG, GIF
low, lowest memory
order 6, mixing complex = medium
probability refinement = level 1
all transforms enabled
no dictionaries</t>
        </r>
      </text>
    </comment>
    <comment ref="A1238" authorId="0" shapeId="0">
      <text>
        <r>
          <rPr>
            <b/>
            <sz val="9"/>
            <color indexed="81"/>
            <rFont val="Tahoma"/>
            <family val="2"/>
          </rPr>
          <t>Models:
Audio, Image, x85, JPEG, GIF
all transforms enabled
no dictionaries</t>
        </r>
      </text>
    </comment>
    <comment ref="F1281" authorId="0" shapeId="0">
      <text>
        <r>
          <rPr>
            <b/>
            <sz val="9"/>
            <color indexed="81"/>
            <rFont val="Tahoma"/>
            <family val="2"/>
          </rPr>
          <t>Models:
Sparse, Record, JPEG, GIF
low, lowest memory
order 6, mixing complex = medium
probability refinement = level 1
all transforms enabled
no dictionaries</t>
        </r>
      </text>
    </comment>
    <comment ref="A1285" authorId="0" shapeId="0">
      <text>
        <r>
          <rPr>
            <b/>
            <sz val="9"/>
            <color indexed="81"/>
            <rFont val="Tahoma"/>
            <family val="2"/>
          </rPr>
          <t>Models:
Sparse, Record, JPEG, GIF
low, lowest memory
order 6, mixing complex = medium
probability refinement = level 1
all transforms enabled
no dictionaries</t>
        </r>
      </text>
    </comment>
    <comment ref="A1303" authorId="0" shapeId="0">
      <text>
        <r>
          <rPr>
            <b/>
            <sz val="9"/>
            <color indexed="81"/>
            <rFont val="Tahoma"/>
            <family val="2"/>
          </rPr>
          <t>Models:
Audio, Image, x85, JPEG, GIF
all transforms enabled
no dictionaries</t>
        </r>
      </text>
    </comment>
    <comment ref="F1318" authorId="0" shapeId="0">
      <text>
        <r>
          <rPr>
            <b/>
            <sz val="9"/>
            <color indexed="81"/>
            <rFont val="Tahoma"/>
            <family val="2"/>
          </rPr>
          <t>Models:
Audio, Image, x85, JPEG, GIF
all transforms enabled
no dictionaries</t>
        </r>
      </text>
    </comment>
    <comment ref="A1334" authorId="0" shapeId="0">
      <text>
        <r>
          <rPr>
            <b/>
            <sz val="9"/>
            <color indexed="81"/>
            <rFont val="Tahoma"/>
            <family val="2"/>
          </rPr>
          <t>Models:
Sparse, Record, JPEG, GIF
low, lowest memory
order 6, mixing complex = medium
probability refinement = level 1
all transforms enabled
no dictionaries</t>
        </r>
      </text>
    </comment>
    <comment ref="F1337" authorId="0" shapeId="0">
      <text>
        <r>
          <rPr>
            <b/>
            <sz val="9"/>
            <color indexed="81"/>
            <rFont val="Tahoma"/>
            <family val="2"/>
          </rPr>
          <t>Models:
Sparse, Record, JPEG, GIF
low, lowest memory
order 6, mixing complex = medium
probability refinement = level 1
all transforms enabled
no dictionaries</t>
        </r>
      </text>
    </comment>
    <comment ref="A1341" authorId="0" shapeId="0">
      <text>
        <r>
          <rPr>
            <b/>
            <sz val="9"/>
            <color indexed="81"/>
            <rFont val="Tahoma"/>
            <family val="2"/>
          </rPr>
          <t>Models:
Audio, Image, x85, JPEG, GIF
all transforms enabled
no dictionaries</t>
        </r>
      </text>
    </comment>
    <comment ref="F1342" authorId="0" shapeId="0">
      <text>
        <r>
          <rPr>
            <b/>
            <sz val="9"/>
            <color indexed="81"/>
            <rFont val="Tahoma"/>
            <family val="2"/>
          </rPr>
          <t>Models:
Audio, Image, x85, JPEG, GIF
all transforms enabled
no dictionaries</t>
        </r>
      </text>
    </comment>
    <comment ref="A1384" authorId="0" shapeId="0">
      <text>
        <r>
          <rPr>
            <b/>
            <sz val="9"/>
            <color indexed="81"/>
            <rFont val="Tahoma"/>
            <family val="2"/>
          </rPr>
          <t>ring buffer 128 MB</t>
        </r>
      </text>
    </comment>
    <comment ref="F1387" authorId="0" shapeId="0">
      <text>
        <r>
          <rPr>
            <b/>
            <sz val="9"/>
            <color indexed="81"/>
            <rFont val="Tahoma"/>
            <family val="2"/>
          </rPr>
          <t>ring buffer 128 MB</t>
        </r>
      </text>
    </comment>
    <comment ref="A1428" authorId="0" shapeId="0">
      <text>
        <r>
          <rPr>
            <b/>
            <sz val="9"/>
            <color indexed="81"/>
            <rFont val="Tahoma"/>
            <family val="2"/>
          </rPr>
          <t>ring buffer 128 MB</t>
        </r>
      </text>
    </comment>
    <comment ref="F1431" authorId="0" shapeId="0">
      <text>
        <r>
          <rPr>
            <b/>
            <sz val="9"/>
            <color indexed="81"/>
            <rFont val="Tahoma"/>
            <family val="2"/>
          </rPr>
          <t>ring buffer 128 MB</t>
        </r>
      </text>
    </comment>
  </commentList>
</comments>
</file>

<file path=xl/comments7.xml><?xml version="1.0" encoding="utf-8"?>
<comments xmlns="http://schemas.openxmlformats.org/spreadsheetml/2006/main">
  <authors>
    <author>SqueezeChart</author>
    <author>Autor</author>
  </authors>
  <commentList>
    <comment ref="B20" authorId="0" shapeId="0">
      <text>
        <r>
          <rPr>
            <b/>
            <sz val="9"/>
            <color indexed="81"/>
            <rFont val="Segoe UI"/>
            <family val="2"/>
          </rPr>
          <t>english dict used on eng.txt,
french dict used on fre.txt,
italian dict used on ita.txt,
portuguese dict used on por.txt
spanish dict used on spa.txt</t>
        </r>
      </text>
    </comment>
    <comment ref="A53" authorId="1" shapeId="0">
      <text>
        <r>
          <rPr>
            <b/>
            <sz val="9"/>
            <color indexed="81"/>
            <rFont val="Tahoma"/>
            <family val="2"/>
          </rPr>
          <t>VMLite XPmodePC</t>
        </r>
      </text>
    </comment>
    <comment ref="A82" authorId="1" shapeId="0">
      <text>
        <r>
          <rPr>
            <b/>
            <sz val="9"/>
            <color indexed="81"/>
            <rFont val="Tahoma"/>
            <family val="2"/>
          </rPr>
          <t>VMLite XPmodePC</t>
        </r>
      </text>
    </comment>
  </commentList>
</comments>
</file>

<file path=xl/sharedStrings.xml><?xml version="1.0" encoding="utf-8"?>
<sst xmlns="http://schemas.openxmlformats.org/spreadsheetml/2006/main" count="11994" uniqueCount="2809">
  <si>
    <t>I AM the SOURCE thy Code.</t>
  </si>
  <si>
    <t>1.</t>
  </si>
  <si>
    <t>Thou shall leave no bugs inside me.</t>
  </si>
  <si>
    <t xml:space="preserve">   Thou shall not make incredible claims nobody can verify.</t>
  </si>
  <si>
    <t>2.</t>
  </si>
  <si>
    <t>Thou shall not take the Name of the Source thy code in vain.</t>
  </si>
  <si>
    <t>3.</t>
  </si>
  <si>
    <t>Remember the Release day, to keep it holy.</t>
  </si>
  <si>
    <t>4.</t>
  </si>
  <si>
    <t>Honor the fame inventors and improvers, that the days may be long</t>
  </si>
  <si>
    <t xml:space="preserve">   upon thy improvement which the Source thy thought giveth thee.</t>
  </si>
  <si>
    <t>5.</t>
  </si>
  <si>
    <t>Thou shall not patent someone's code nor sell it as thy code.</t>
  </si>
  <si>
    <t>6.</t>
  </si>
  <si>
    <t>Thou shall not commit copyright infringements.</t>
  </si>
  <si>
    <t>7.</t>
  </si>
  <si>
    <t>Thou shall not steal closed-source ideas.</t>
  </si>
  <si>
    <t>8.</t>
  </si>
  <si>
    <t>Thou shall not bear false witness against thy customers.</t>
  </si>
  <si>
    <t>9.</t>
  </si>
  <si>
    <t>Thou shall not covet thy neighbor's code.</t>
  </si>
  <si>
    <t>10.</t>
  </si>
  <si>
    <t>Thou shall not covet thy neighbor's idea nor his compiler,</t>
  </si>
  <si>
    <t xml:space="preserve">   nor his code's success, nor his filters nor anything that is thy neighbors.</t>
  </si>
  <si>
    <t>%</t>
  </si>
  <si>
    <t>HKI</t>
  </si>
  <si>
    <t>GUTENBERG</t>
  </si>
  <si>
    <t>A note to the file data sets used here:</t>
  </si>
  <si>
    <t>arwiki-20090209-pages-articles.xml</t>
  </si>
  <si>
    <t>dewiki-20090311-pages-articles.xml</t>
  </si>
  <si>
    <t>enwiki-20090306-pages-articles.xml</t>
  </si>
  <si>
    <t>eswiki-20090124-pages-articles.xml</t>
  </si>
  <si>
    <t>frwiki-20090224-pages-articles.xml</t>
  </si>
  <si>
    <t>hiwiki-20090201-pages-articles.xml</t>
  </si>
  <si>
    <t>ptwiki-20090128-pages-articles.xml</t>
  </si>
  <si>
    <t>ruwiki-20081228-pages-articles.xml</t>
  </si>
  <si>
    <t>trwiki-20090207-pages-articles.xml</t>
  </si>
  <si>
    <t>zhwiki-20090116-pages-articles.xml</t>
  </si>
  <si>
    <t>a selection of about 25% InnoSetup/Nullsoft, 25% InstallShield, 25% Windows Installer/MSI and 25% WISE Installer/GZIP/ZIP SFX setups</t>
  </si>
  <si>
    <t>this selection simulates a typical software installation collection which can be originally downloaded on the authors websites.</t>
  </si>
  <si>
    <t>☺</t>
  </si>
  <si>
    <t>©</t>
  </si>
  <si>
    <t>Test Machine Specifications:</t>
  </si>
  <si>
    <t>THE TEST DATASET'S</t>
  </si>
  <si>
    <t>encoding time in seconds</t>
  </si>
  <si>
    <t>decoding time in seconds</t>
  </si>
  <si>
    <t>INSTALLER</t>
  </si>
  <si>
    <t>MOBILE</t>
  </si>
  <si>
    <t>SOURCES</t>
  </si>
  <si>
    <t>usual file extension</t>
  </si>
  <si>
    <t>architecture</t>
  </si>
  <si>
    <t>when released / developed</t>
  </si>
  <si>
    <t>where developed (country)</t>
  </si>
  <si>
    <t>algorithms used</t>
  </si>
  <si>
    <t>BEST Bits Per Byte value ➾</t>
  </si>
  <si>
    <t>BEST ratio ➾</t>
  </si>
  <si>
    <t>OS Name</t>
  </si>
  <si>
    <t>cores</t>
  </si>
  <si>
    <t>UNCOMPRESSED SIZE</t>
  </si>
  <si>
    <t>bit depth</t>
  </si>
  <si>
    <t>used</t>
  </si>
  <si>
    <t>.rk</t>
  </si>
  <si>
    <t>win64</t>
  </si>
  <si>
    <t>New Zealand</t>
  </si>
  <si>
    <t>ROLZ-3 + PWCM 800 MB</t>
  </si>
  <si>
    <t>.paq8p1</t>
  </si>
  <si>
    <t>win32</t>
  </si>
  <si>
    <t>USA &amp; Russia</t>
  </si>
  <si>
    <t>.nz</t>
  </si>
  <si>
    <t>Finland</t>
  </si>
  <si>
    <t>.arc</t>
  </si>
  <si>
    <t>Russia</t>
  </si>
  <si>
    <t>ROLZ-3 + PPM</t>
  </si>
  <si>
    <t>Germany</t>
  </si>
  <si>
    <t>China</t>
  </si>
  <si>
    <t>.fb</t>
  </si>
  <si>
    <t>United States</t>
  </si>
  <si>
    <t>.paq6ebb</t>
  </si>
  <si>
    <t>ROLZ-1 768 MB</t>
  </si>
  <si>
    <t>.paq9a</t>
  </si>
  <si>
    <t>.7z</t>
  </si>
  <si>
    <t>.zpaq</t>
  </si>
  <si>
    <t>.uha</t>
  </si>
  <si>
    <t>.enc</t>
  </si>
  <si>
    <t>.sqx</t>
  </si>
  <si>
    <t>.lpaq4</t>
  </si>
  <si>
    <t>ALZ3 291 MB</t>
  </si>
  <si>
    <t>.pim</t>
  </si>
  <si>
    <t>.bit</t>
  </si>
  <si>
    <t>Turkiye</t>
  </si>
  <si>
    <t>.lpaq1</t>
  </si>
  <si>
    <t>.sbc</t>
  </si>
  <si>
    <t>BWT + ARI</t>
  </si>
  <si>
    <t>.cmm4</t>
  </si>
  <si>
    <t>.pmm</t>
  </si>
  <si>
    <t>PPM-II</t>
  </si>
  <si>
    <t>.lzpxj</t>
  </si>
  <si>
    <t>LZ + ARI</t>
  </si>
  <si>
    <t>Italy</t>
  </si>
  <si>
    <t>RZM 0.07e (2008) Christian Martelock</t>
  </si>
  <si>
    <t>.rzm</t>
  </si>
  <si>
    <t>64 MB sliding window ROLZ</t>
  </si>
  <si>
    <t>.sitx</t>
  </si>
  <si>
    <t>LZ+ARI 5:25 / PPM 16:27</t>
  </si>
  <si>
    <t>.mcomp</t>
  </si>
  <si>
    <t>ROLZ-3</t>
  </si>
  <si>
    <t>- unknown -</t>
  </si>
  <si>
    <t>LZ</t>
  </si>
  <si>
    <t>.flz</t>
  </si>
  <si>
    <t>.zip</t>
  </si>
  <si>
    <t>LZH + SF + BWT + PPMd</t>
  </si>
  <si>
    <t>.bliz</t>
  </si>
  <si>
    <t>.tc</t>
  </si>
  <si>
    <t>Fast PAQ Weighting</t>
  </si>
  <si>
    <t>.rkc</t>
  </si>
  <si>
    <t>PPMD</t>
  </si>
  <si>
    <t>Experimental BWT 2000 MB</t>
  </si>
  <si>
    <t>LZMA + PPMD</t>
  </si>
  <si>
    <t>.ash</t>
  </si>
  <si>
    <t>DGCA 1.00 - 1.10e ('04-'06) Shin-ichi Tsuruta</t>
  </si>
  <si>
    <t>.dgc</t>
  </si>
  <si>
    <t>Japan</t>
  </si>
  <si>
    <t>.rar</t>
  </si>
  <si>
    <t>.car</t>
  </si>
  <si>
    <t>.quad</t>
  </si>
  <si>
    <t>LZP</t>
  </si>
  <si>
    <t>LZ with 512 MB dictionary</t>
  </si>
  <si>
    <t>.tur</t>
  </si>
  <si>
    <t>.rings</t>
  </si>
  <si>
    <t>Fast BWT+MTF+Pre-HUF+ARI</t>
  </si>
  <si>
    <t>.bcm</t>
  </si>
  <si>
    <t>dos16</t>
  </si>
  <si>
    <t>ALZ3 (?)</t>
  </si>
  <si>
    <t>.bee</t>
  </si>
  <si>
    <t>PPM</t>
  </si>
  <si>
    <t>LZ + CM</t>
  </si>
  <si>
    <t>.balz</t>
  </si>
  <si>
    <t>LZ77 (greedy parsing)</t>
  </si>
  <si>
    <t>LZP + CM</t>
  </si>
  <si>
    <t>.dul</t>
  </si>
  <si>
    <t>.ace</t>
  </si>
  <si>
    <t>.dc</t>
  </si>
  <si>
    <t>FPPM, 512 MB buffer, solid</t>
  </si>
  <si>
    <t>ATOM™ (arsenic)</t>
  </si>
  <si>
    <t>.cxf</t>
  </si>
  <si>
    <t>Belarus</t>
  </si>
  <si>
    <t>.rz</t>
  </si>
  <si>
    <t>.m03</t>
  </si>
  <si>
    <t>BWT</t>
  </si>
  <si>
    <t>.4</t>
  </si>
  <si>
    <t>LZMA</t>
  </si>
  <si>
    <t>DARK 0.46 -b128mf1s2 (2006) D. Malyshev</t>
  </si>
  <si>
    <t>.dark</t>
  </si>
  <si>
    <t>BWT + Distance Coding</t>
  </si>
  <si>
    <t>.bssc</t>
  </si>
  <si>
    <t>.tzr</t>
  </si>
  <si>
    <t>Poland</t>
  </si>
  <si>
    <t>order-3 LZP + order-2 PPM</t>
  </si>
  <si>
    <t>WinRar 2.90 Final (2001) Eugene Roshal</t>
  </si>
  <si>
    <t>.m99</t>
  </si>
  <si>
    <t>.gq</t>
  </si>
  <si>
    <t>Romania</t>
  </si>
  <si>
    <t>.lzpm</t>
  </si>
  <si>
    <t>LZ77 + PPM</t>
  </si>
  <si>
    <t>.pmv</t>
  </si>
  <si>
    <t>.tor</t>
  </si>
  <si>
    <t>.uhbc</t>
  </si>
  <si>
    <t>BWT + WFC + MTF</t>
  </si>
  <si>
    <t>.pmd</t>
  </si>
  <si>
    <t>.qc</t>
  </si>
  <si>
    <t>LZ + PPM</t>
  </si>
  <si>
    <t>.aza</t>
  </si>
  <si>
    <t>LZP + ARI</t>
  </si>
  <si>
    <t>.hook</t>
  </si>
  <si>
    <t>Italia</t>
  </si>
  <si>
    <t>.ybs</t>
  </si>
  <si>
    <t>DARK 0.50 -b200ms (2006) Dmitry Malyshev</t>
  </si>
  <si>
    <t>LZMA PPMD</t>
  </si>
  <si>
    <t>.abc</t>
  </si>
  <si>
    <t>BWT + MTF, SiF, AWFC</t>
  </si>
  <si>
    <t>.zz</t>
  </si>
  <si>
    <t>France</t>
  </si>
  <si>
    <t>FPAQ S06 (2006)</t>
  </si>
  <si>
    <t>.fpaq</t>
  </si>
  <si>
    <t>LZ77 with 8 MB dictionary</t>
  </si>
  <si>
    <t>.ict</t>
  </si>
  <si>
    <t>TarsaLZP (04.08.2007) Piotr Tarsa</t>
  </si>
  <si>
    <t>.grz</t>
  </si>
  <si>
    <t>LZP + BWT + AWFC + MTF + ARI</t>
  </si>
  <si>
    <t>.bma</t>
  </si>
  <si>
    <t>LZP + PPM</t>
  </si>
  <si>
    <t>BOA Constrictor 0.58  -a -s -m15 Ian Sutton</t>
  </si>
  <si>
    <t>.b58</t>
  </si>
  <si>
    <t>CBT 1.072 β 26 Mode 4, solid K-Shinya</t>
  </si>
  <si>
    <t>.cbt</t>
  </si>
  <si>
    <t>LZ 77 + BWT</t>
  </si>
  <si>
    <t>.ppmx</t>
  </si>
  <si>
    <t>PPMX</t>
  </si>
  <si>
    <t>CMM 17.09.2007 Christopher Mattern</t>
  </si>
  <si>
    <t>.cmm</t>
  </si>
  <si>
    <t>WinIMP 1.2 max Alg. 1/2, 1020, 16mb</t>
  </si>
  <si>
    <t>.imp</t>
  </si>
  <si>
    <t>Australia</t>
  </si>
  <si>
    <t>LZ77 + BWT</t>
  </si>
  <si>
    <t>.acb</t>
  </si>
  <si>
    <t>.ufa</t>
  </si>
  <si>
    <t>.paq1</t>
  </si>
  <si>
    <t>.lg</t>
  </si>
  <si>
    <t>Ukraine</t>
  </si>
  <si>
    <t>RLE + LZ / PPM + ARI; BMC</t>
  </si>
  <si>
    <t>.dst</t>
  </si>
  <si>
    <t>LZ77 + PPM + DHUF</t>
  </si>
  <si>
    <t>.bzp</t>
  </si>
  <si>
    <t>BruteCM 0.1c (2008) VCORE</t>
  </si>
  <si>
    <t>Taiwan</t>
  </si>
  <si>
    <t>.bio</t>
  </si>
  <si>
    <t>.hki</t>
  </si>
  <si>
    <t>.ice</t>
  </si>
  <si>
    <t>LZ + PPM II</t>
  </si>
  <si>
    <t>LZTURBO 0.9 (2008) Hamid Bouzidi -59</t>
  </si>
  <si>
    <t>.lzturbo</t>
  </si>
  <si>
    <t>.chile</t>
  </si>
  <si>
    <t>LZXQ 0.3 (2007) Vcore</t>
  </si>
  <si>
    <t>.lzxq</t>
  </si>
  <si>
    <t>LZP + order 4-2-1 ARI</t>
  </si>
  <si>
    <t>PPMNKM 1.00b1+ -M:50 -MT1 M. Smirnov</t>
  </si>
  <si>
    <t>.ppmnkm</t>
  </si>
  <si>
    <t>.sr3</t>
  </si>
  <si>
    <t>PAR 2.00 build 61 (2001) Philipp Druyts</t>
  </si>
  <si>
    <t>.par</t>
  </si>
  <si>
    <t>Belgium</t>
  </si>
  <si>
    <t>777 Archiver ('98) -mg -mu32 -s Igor Pavlov</t>
  </si>
  <si>
    <t>.777</t>
  </si>
  <si>
    <t>Transform 1.02 (maximum) M. Bone</t>
  </si>
  <si>
    <t>.tfm</t>
  </si>
  <si>
    <t>BGB-LZ2A Brendan G. Bohannon</t>
  </si>
  <si>
    <t>.lz2a</t>
  </si>
  <si>
    <t>LZ77 + ARI</t>
  </si>
  <si>
    <t>.xtreme</t>
  </si>
  <si>
    <t>.urb</t>
  </si>
  <si>
    <t>Sweden</t>
  </si>
  <si>
    <t>(?)</t>
  </si>
  <si>
    <t>.packet</t>
  </si>
  <si>
    <t>.bix</t>
  </si>
  <si>
    <t>LZ + ARI + PPM</t>
  </si>
  <si>
    <t>.fcm</t>
  </si>
  <si>
    <t>Fast CM</t>
  </si>
  <si>
    <t>.cab</t>
  </si>
  <si>
    <t>DACT 0.8.39 (2004) Roy Keene</t>
  </si>
  <si>
    <t>.dact</t>
  </si>
  <si>
    <t>RLE + LZO + ZLIB + BWT</t>
  </si>
  <si>
    <t>LZRW1 + ARI</t>
  </si>
  <si>
    <t>.ctw</t>
  </si>
  <si>
    <t>Netherlands</t>
  </si>
  <si>
    <t>Context Tree Weighting</t>
  </si>
  <si>
    <t>.exe</t>
  </si>
  <si>
    <t>.exp</t>
  </si>
  <si>
    <t>BZIP2 (BWT)</t>
  </si>
  <si>
    <t>.bz2</t>
  </si>
  <si>
    <t>BWT, 900kb blocks</t>
  </si>
  <si>
    <t>QUANTUM 0.97 -c5 -t21 (1995)</t>
  </si>
  <si>
    <t>.q</t>
  </si>
  <si>
    <t>P12 Neural Network Matt Mahoney</t>
  </si>
  <si>
    <t>.p12</t>
  </si>
  <si>
    <t>Neural Network</t>
  </si>
  <si>
    <t>.bwtzip</t>
  </si>
  <si>
    <t>.lzpx</t>
  </si>
  <si>
    <t>Compress 1.22 (max) Philipp Druyts</t>
  </si>
  <si>
    <t>.pak</t>
  </si>
  <si>
    <t>TarsaLZP (2007) Piotr Tarsa</t>
  </si>
  <si>
    <t>SLUG X (2009) Christian Martelock</t>
  </si>
  <si>
    <t>.sx</t>
  </si>
  <si>
    <t>RHSO-LZ</t>
  </si>
  <si>
    <t>SR2 v2 (2008) Piotr Tarsa</t>
  </si>
  <si>
    <t>.sr2v2</t>
  </si>
  <si>
    <t>Symbol Ranking</t>
  </si>
  <si>
    <t>.uc2</t>
  </si>
  <si>
    <t>.x</t>
  </si>
  <si>
    <t>Danmark</t>
  </si>
  <si>
    <t>.lzds</t>
  </si>
  <si>
    <t>LZ77</t>
  </si>
  <si>
    <t>ACE-ARCHIVER 1.2 (maximum) M. Lemke</t>
  </si>
  <si>
    <t>.slug</t>
  </si>
  <si>
    <t>.ha</t>
  </si>
  <si>
    <t>.thor</t>
  </si>
  <si>
    <t>Spain</t>
  </si>
  <si>
    <t>slow LZP</t>
  </si>
  <si>
    <t>YAC 1.02 (1995) Aleksandras Surna</t>
  </si>
  <si>
    <t>.yac</t>
  </si>
  <si>
    <t>Lithuania</t>
  </si>
  <si>
    <t>DCA Archiver 1.0.1 (best) (2000)</t>
  </si>
  <si>
    <t>.dca</t>
  </si>
  <si>
    <t>.jar</t>
  </si>
  <si>
    <t>SLUG 1.27 (2008) Christian Martelock</t>
  </si>
  <si>
    <t>.sit</t>
  </si>
  <si>
    <t>AKT32 70 β 7 (2000) Agyhalál</t>
  </si>
  <si>
    <t>.akt</t>
  </si>
  <si>
    <t>Hungary</t>
  </si>
  <si>
    <t>.bsn</t>
  </si>
  <si>
    <t>Arithmetic Coding</t>
  </si>
  <si>
    <t>.lzh</t>
  </si>
  <si>
    <t>-unknown -</t>
  </si>
  <si>
    <t>.gz</t>
  </si>
  <si>
    <t>LIMIT 1.2 -mx (1993) J.Y. Lim</t>
  </si>
  <si>
    <t>.lim</t>
  </si>
  <si>
    <t>.hit</t>
  </si>
  <si>
    <t>M01 (2008) Christopher Mattern</t>
  </si>
  <si>
    <t>.m01</t>
  </si>
  <si>
    <t>QUARK 1.0 β (1993) Robert Kunz</t>
  </si>
  <si>
    <t>.ark</t>
  </si>
  <si>
    <t>.can</t>
  </si>
  <si>
    <t>LZ ZLIB</t>
  </si>
  <si>
    <t>.zet</t>
  </si>
  <si>
    <t>.dz</t>
  </si>
  <si>
    <t>ZLIB</t>
  </si>
  <si>
    <t>SQZ (Squeeze It) 1.08.3 ('93) J. Hammarberg</t>
  </si>
  <si>
    <t>.sqz</t>
  </si>
  <si>
    <t>vuZIP 1.8 Build 3.185 (maximum)</t>
  </si>
  <si>
    <t>.ziv</t>
  </si>
  <si>
    <t>.amg</t>
  </si>
  <si>
    <t>.pea</t>
  </si>
  <si>
    <t>Deflate</t>
  </si>
  <si>
    <t>.ain</t>
  </si>
  <si>
    <t>CODEC 3.10 -C9 Telvox Italia</t>
  </si>
  <si>
    <t>.lib</t>
  </si>
  <si>
    <t>RAR 1.55 (1995) max Eugene Roshal</t>
  </si>
  <si>
    <t>.arj</t>
  </si>
  <si>
    <t>.bca</t>
  </si>
  <si>
    <t>Korea</t>
  </si>
  <si>
    <t>.bar</t>
  </si>
  <si>
    <t>JAVA</t>
  </si>
  <si>
    <t>Chaos Compressor 3.0 (2004) SafeSoft</t>
  </si>
  <si>
    <t>.ccr</t>
  </si>
  <si>
    <t>AR 0.02 (1990) Haruhiko Okumura</t>
  </si>
  <si>
    <t>.ar</t>
  </si>
  <si>
    <t>.lzz</t>
  </si>
  <si>
    <t>Africa</t>
  </si>
  <si>
    <t>Hamarsoft HAP 3.00 (1992) H. Feldman</t>
  </si>
  <si>
    <t>.hap</t>
  </si>
  <si>
    <t>Hamarsoft HAP 4.02m (1996) H. Feldman</t>
  </si>
  <si>
    <t>.hpk</t>
  </si>
  <si>
    <t>LZA</t>
  </si>
  <si>
    <t>ESP 1.92 /M0 /MM2 (1996) GyikSoft</t>
  </si>
  <si>
    <t>.esp</t>
  </si>
  <si>
    <t>Deep Freezer 1.06 (1999) Yamazaki</t>
  </si>
  <si>
    <t>.yz1</t>
  </si>
  <si>
    <t>LZH</t>
  </si>
  <si>
    <t>ARQ Crusher! 3.2 DC Micro Development</t>
  </si>
  <si>
    <t>.arq</t>
  </si>
  <si>
    <t>.bh</t>
  </si>
  <si>
    <t>Jabosoft Archiver 1.0 (2004) Jabosoft</t>
  </si>
  <si>
    <t>.jzip</t>
  </si>
  <si>
    <t>LZARI (1989) Haruhiko Okumura</t>
  </si>
  <si>
    <t>.lza</t>
  </si>
  <si>
    <t>.noa</t>
  </si>
  <si>
    <t>WWPACK 3.05 β4 Wierzbicki &amp; Warezak</t>
  </si>
  <si>
    <t>.wwp</t>
  </si>
  <si>
    <t>LZHUF (1989) Haruhiko Okumura</t>
  </si>
  <si>
    <t>LZ + Huffman</t>
  </si>
  <si>
    <t>Freeze 1.0 A. Reeve / ICE 1.0.2 M. Lamanuzzi</t>
  </si>
  <si>
    <t>.eli</t>
  </si>
  <si>
    <t>FPAQ 3d option c 6 (2006)</t>
  </si>
  <si>
    <t>.fpaq3</t>
  </si>
  <si>
    <t>Order 28 PPM</t>
  </si>
  <si>
    <t>FPAQ 3 (2006)</t>
  </si>
  <si>
    <t>LZP + PPM + OX</t>
  </si>
  <si>
    <t>KTY Archiver 1.3 (2002) HyperBeat</t>
  </si>
  <si>
    <t>.kty</t>
  </si>
  <si>
    <t>.lzo</t>
  </si>
  <si>
    <t>LZOP</t>
  </si>
  <si>
    <t>.hs</t>
  </si>
  <si>
    <t>Huffman (?)</t>
  </si>
  <si>
    <t>.lzss</t>
  </si>
  <si>
    <t>LZSS Storer&amp;Szymanski parsing</t>
  </si>
  <si>
    <t>LZ77 (aPLib)</t>
  </si>
  <si>
    <t>Order 0 ARI</t>
  </si>
  <si>
    <t>.cmp</t>
  </si>
  <si>
    <t>.hyp</t>
  </si>
  <si>
    <t>LZW</t>
  </si>
  <si>
    <t>.lzc</t>
  </si>
  <si>
    <t>LZC</t>
  </si>
  <si>
    <t>ChArc 1.2 (1990) S. Tchernivetzky</t>
  </si>
  <si>
    <t>.chz</t>
  </si>
  <si>
    <t>Denmark</t>
  </si>
  <si>
    <t>Implode (LZW + ShFano)</t>
  </si>
  <si>
    <t>PAK 2.51 (1990) /CR NoGate Consulting</t>
  </si>
  <si>
    <t>Central Point Shrink (1992)</t>
  </si>
  <si>
    <t>.cpz</t>
  </si>
  <si>
    <t>JAM Aug/96 (1996) W.Jiang</t>
  </si>
  <si>
    <t>.jam</t>
  </si>
  <si>
    <t>8k LZ78</t>
  </si>
  <si>
    <t>.ucl</t>
  </si>
  <si>
    <t>LZ derivative</t>
  </si>
  <si>
    <t>ZOO 2.10 ah (1991) Rahul Dhesi</t>
  </si>
  <si>
    <t>.zoo</t>
  </si>
  <si>
    <t>Cuba (?)</t>
  </si>
  <si>
    <t>LZW + Probabilistic</t>
  </si>
  <si>
    <t>.shk</t>
  </si>
  <si>
    <t>.bc</t>
  </si>
  <si>
    <t>LZR + BMA + MTF + BRA</t>
  </si>
  <si>
    <t>Stirling Compressor 1.3.21 (InstallShield)</t>
  </si>
  <si>
    <t>.tsc</t>
  </si>
  <si>
    <t>NSK (NaShrinK) 5.0 (1998) NashSoft</t>
  </si>
  <si>
    <t>.nsk</t>
  </si>
  <si>
    <t>LZSS</t>
  </si>
  <si>
    <t>fast LZP</t>
  </si>
  <si>
    <t>.6 (?)</t>
  </si>
  <si>
    <t>Indonesia</t>
  </si>
  <si>
    <t>Fast LZ</t>
  </si>
  <si>
    <t>Dynamic LZW2</t>
  </si>
  <si>
    <t>.fpaqa</t>
  </si>
  <si>
    <t>fpaq0pv5</t>
  </si>
  <si>
    <t>LZSS (1989) Haruhiko Okumura</t>
  </si>
  <si>
    <t>.lzs</t>
  </si>
  <si>
    <t>.ta_</t>
  </si>
  <si>
    <t>MDCD 1.0 (1988) Mike Davenport</t>
  </si>
  <si>
    <t>.cd</t>
  </si>
  <si>
    <t>Canada</t>
  </si>
  <si>
    <t>Dynamic LZW1</t>
  </si>
  <si>
    <t>BLINK 1.0 (1999) DeTrans Software</t>
  </si>
  <si>
    <t>.bli</t>
  </si>
  <si>
    <t>RLE + LZE</t>
  </si>
  <si>
    <t>LZRW1 (1992) Dr. Ross Williams</t>
  </si>
  <si>
    <t>.lzr</t>
  </si>
  <si>
    <t>LZRW1</t>
  </si>
  <si>
    <t>After Radix BWT</t>
  </si>
  <si>
    <t>.spl</t>
  </si>
  <si>
    <t>SPLAY Trees</t>
  </si>
  <si>
    <t>.lzw</t>
  </si>
  <si>
    <t>LZMW</t>
  </si>
  <si>
    <t>.nice</t>
  </si>
  <si>
    <t>.fin</t>
  </si>
  <si>
    <t>GAS 2.0 (1993) ISP; Ricky Bhatti</t>
  </si>
  <si>
    <t>.gas</t>
  </si>
  <si>
    <t>SPLAY (1988) Kim Kokkonen</t>
  </si>
  <si>
    <t>WinBcomp 0.1 (1999) Bruno Riviere</t>
  </si>
  <si>
    <t>.bcp</t>
  </si>
  <si>
    <t>early LZW</t>
  </si>
  <si>
    <t>SQPC 1.31 (1986) Richard Greenlaw</t>
  </si>
  <si>
    <t>.rlc</t>
  </si>
  <si>
    <t>India</t>
  </si>
  <si>
    <t>RLE</t>
  </si>
  <si>
    <t>.pcf</t>
  </si>
  <si>
    <t>LZWCOM (1985) Kent Williams</t>
  </si>
  <si>
    <t>Armenian Packer 1D (2003)</t>
  </si>
  <si>
    <t>not tested</t>
  </si>
  <si>
    <t>crashed</t>
  </si>
  <si>
    <t>.ap</t>
  </si>
  <si>
    <t>Armenia</t>
  </si>
  <si>
    <t>.bel</t>
  </si>
  <si>
    <t xml:space="preserve"> </t>
  </si>
  <si>
    <t>.bgb</t>
  </si>
  <si>
    <t>.bvi</t>
  </si>
  <si>
    <t>.emilcont</t>
  </si>
  <si>
    <t>error</t>
  </si>
  <si>
    <t>.f2p</t>
  </si>
  <si>
    <t>.hpa</t>
  </si>
  <si>
    <t>HUF 1.0 (1990) William Demas</t>
  </si>
  <si>
    <t>.huf</t>
  </si>
  <si>
    <t>Huffman</t>
  </si>
  <si>
    <t>.mar</t>
  </si>
  <si>
    <t>LZH + BWT + PPM</t>
  </si>
  <si>
    <t>Miliki Compressor Pro 1.02.0214</t>
  </si>
  <si>
    <t>.qcf</t>
  </si>
  <si>
    <t>MPC 3.0 (1996) Marco Czudej</t>
  </si>
  <si>
    <t>.mpc</t>
  </si>
  <si>
    <t>.xie</t>
  </si>
  <si>
    <t>Hong Kong</t>
  </si>
  <si>
    <t>.ppmvc</t>
  </si>
  <si>
    <t>PPM II + VC</t>
  </si>
  <si>
    <t>.psa</t>
  </si>
  <si>
    <t>RKIVE 1.4 (1996) -mtx -mm1 -o+ M. Taylor</t>
  </si>
  <si>
    <t>.rkv</t>
  </si>
  <si>
    <t>ROLZ PPMZ</t>
  </si>
  <si>
    <t>PPMZ</t>
  </si>
  <si>
    <t>.six</t>
  </si>
  <si>
    <t>LZ+ARI / PPM</t>
  </si>
  <si>
    <t>PWCM 800 MB</t>
  </si>
  <si>
    <t>ROLZ-2 + PWCM 700 MB</t>
  </si>
  <si>
    <t>.xpa</t>
  </si>
  <si>
    <t>enc in sec</t>
  </si>
  <si>
    <t>impossible</t>
  </si>
  <si>
    <t>not supported</t>
  </si>
  <si>
    <t>.FTG Format lossless (2000) F&amp;G Labs</t>
  </si>
  <si>
    <t>.GIF GIF89a</t>
  </si>
  <si>
    <t>unknown</t>
  </si>
  <si>
    <t>UHARC 0.6b ('05) -mx -mm+ -md32768</t>
  </si>
  <si>
    <t>Deflopt 2.06 (28.04.06) B.J.Walbeehm</t>
  </si>
  <si>
    <t>ISA Compress (output ISA image)</t>
  </si>
  <si>
    <t>PNGOUT (29.10.2006) /s0 /b0</t>
  </si>
  <si>
    <t>OptiPNG 0.5.4-0.6.2 -o7 (15.08.2006)</t>
  </si>
  <si>
    <t>PackJPG 2.0 (16.06.07)</t>
  </si>
  <si>
    <t>JPEGcrop (JPEG-Ari) (1998)</t>
  </si>
  <si>
    <t>Sound Slimmer 1.04.001 (06.07.2005)</t>
  </si>
  <si>
    <t>MP3Packer 1.18 (05.06.07) Reed Wilson -z</t>
  </si>
  <si>
    <t>Sound Slimmer 1.04.001/5 (06.07.2005)</t>
  </si>
  <si>
    <t>MPEG TS [1920x1080, 29.87 fps, 87.00 sec]</t>
  </si>
  <si>
    <t>10.1 Mbps VBR</t>
  </si>
  <si>
    <t>MKV [1280x528, 23.976 fps, 52.18 sec]</t>
  </si>
  <si>
    <t>4952 kbps VBR</t>
  </si>
  <si>
    <t>￭ stream: MPEG2, 16:9, 9909 kbps</t>
  </si>
  <si>
    <t>MOV HD [1920x800 29.97 fps, 131.00 sec]</t>
  </si>
  <si>
    <t>￭ stream: H.264 AVC, 2.400, VBR</t>
  </si>
  <si>
    <t>ORIGINAL FILE</t>
  </si>
  <si>
    <t>FPC P. Ratanaworabhan &amp; M. Burtscher</t>
  </si>
  <si>
    <t>Unstructural Hexahedral Meshes I</t>
  </si>
  <si>
    <t>￭ block.hex (Block-structured test mesh. This mesh contains nonmanifold edges)</t>
  </si>
  <si>
    <t>￭ Vertices: 101,401</t>
  </si>
  <si>
    <t>￭ Hexahedra: 93,750</t>
  </si>
  <si>
    <t>.ccmx</t>
  </si>
  <si>
    <t>.zipx</t>
  </si>
  <si>
    <t>.csc3</t>
  </si>
  <si>
    <t>LZH + SF + BWT + LZMA + PPMd</t>
  </si>
  <si>
    <t>.lzp</t>
  </si>
  <si>
    <t>LZP 1.0 (1995-1997) Charles Bloom</t>
  </si>
  <si>
    <t>M99 (2001) Michael A. Maniscalco</t>
  </si>
  <si>
    <t>LZP 3.0 (1995-1997) Charles Bloom</t>
  </si>
  <si>
    <t>.ecp</t>
  </si>
  <si>
    <t>RLE + BWT + MTF + HUF</t>
  </si>
  <si>
    <t>.bred</t>
  </si>
  <si>
    <t>LZP + BWT + MTF + ARI</t>
  </si>
  <si>
    <t>.ulz</t>
  </si>
  <si>
    <t>.etincelle</t>
  </si>
  <si>
    <t>.bsc</t>
  </si>
  <si>
    <t>.yzx</t>
  </si>
  <si>
    <t>LZKS</t>
  </si>
  <si>
    <t>France &amp; USA</t>
  </si>
  <si>
    <t>Parallel BWT, 900kb blocks</t>
  </si>
  <si>
    <t>WinRK 3.1.2 (best asymmetic ROLZ-3) Malcolm Taylor</t>
  </si>
  <si>
    <t>no converter</t>
  </si>
  <si>
    <t>.DNG/lossless-JPEG</t>
  </si>
  <si>
    <t>.SLP Switched Linear Prediction v2a Shinji Wakasugi</t>
  </si>
  <si>
    <t>.MRP Minimum Rate Predictors v0.5 -o -I 12 Ichiro Matsuda</t>
  </si>
  <si>
    <t>eRLE + DIC</t>
  </si>
  <si>
    <t>.prnrw</t>
  </si>
  <si>
    <t>.ISA Compress (27.02.2004) Nils Haeck (input=bmp)</t>
  </si>
  <si>
    <t>.lzham</t>
  </si>
  <si>
    <t>Russia &amp; United States</t>
  </si>
  <si>
    <t>OCA_MPEG 0.6 level 12 (P.Skibinski)</t>
  </si>
  <si>
    <t>.mzp</t>
  </si>
  <si>
    <t>Power Archiver 2010 11.70.66  7z opt.ultra solid</t>
  </si>
  <si>
    <t>.sen</t>
  </si>
  <si>
    <t>PPM-II (o16, m1600)</t>
  </si>
  <si>
    <t>LZMA:128; PPMD:1536 o10</t>
  </si>
  <si>
    <t>EXIFIRON -b (24.02.2006) Marko Mäkelä</t>
  </si>
  <si>
    <t>BetterJPEG 2.0.0.9</t>
  </si>
  <si>
    <t>.xp</t>
  </si>
  <si>
    <t>ROLZ</t>
  </si>
  <si>
    <t>.egg</t>
  </si>
  <si>
    <t>LZMA ?</t>
  </si>
  <si>
    <t>.lz4</t>
  </si>
  <si>
    <t>LZ4HC 0.9 (2010) Yann Collet</t>
  </si>
  <si>
    <t>Deflate 64, word size=257 ultra (7z 9.20)</t>
  </si>
  <si>
    <t>LZMA 9.20</t>
  </si>
  <si>
    <t>.lzma</t>
  </si>
  <si>
    <t>LZMA with better entropy coding</t>
  </si>
  <si>
    <t>QPRESS 1.1 -rL3T12 (2011) Lasse Reinhold</t>
  </si>
  <si>
    <t>.qp</t>
  </si>
  <si>
    <t>.irolz</t>
  </si>
  <si>
    <t>order-5 PPM</t>
  </si>
  <si>
    <t>.LSP S+P 3.0.1 (30.08.96) Amir Said &amp; W.A. Pearlman (lossless) (input=RAS)</t>
  </si>
  <si>
    <t>BCIF 1.0β (08.12.2010) Stefano Brocchi) (input=bmp)</t>
  </si>
  <si>
    <t>.PNG PNGWOLF (08.04.2011) Björn Höhrmann</t>
  </si>
  <si>
    <t>JPEGmini (web service) (31.08.2011)</t>
  </si>
  <si>
    <t>.kz</t>
  </si>
  <si>
    <t>LZMA (?)</t>
  </si>
  <si>
    <t>KuaiZip 2.3.2 (2011) best solid</t>
  </si>
  <si>
    <t>LZSS + ARI</t>
  </si>
  <si>
    <t>.lzsr</t>
  </si>
  <si>
    <t>LZP-LZ77 + SR</t>
  </si>
  <si>
    <t>.lzmat</t>
  </si>
  <si>
    <t>LZMAT 0.51 Vitaly Evseenko</t>
  </si>
  <si>
    <t>.zcm</t>
  </si>
  <si>
    <t>PreComp 0.4.2 Christian Schneider</t>
  </si>
  <si>
    <t>lzw/zlib/jpeg recompressor + bzip2</t>
  </si>
  <si>
    <t>REFLATE 0c1 (2012) Eugene Shelwien</t>
  </si>
  <si>
    <t>.ref</t>
  </si>
  <si>
    <t>PackJPG 2.5a (17.12.12) Matthias Stirner</t>
  </si>
  <si>
    <t>BSC 3.1.0 -b1024rsca -m0 -H28 -M255 I. Grebnov</t>
  </si>
  <si>
    <t>.pja</t>
  </si>
  <si>
    <t>.fbc</t>
  </si>
  <si>
    <t>FBC 1.0 300MB blocksize David Catt</t>
  </si>
  <si>
    <t>CROOK 0.1 -m1600 -O7 Juri Valdmann</t>
  </si>
  <si>
    <t>.crook</t>
  </si>
  <si>
    <t>bit-level PPM</t>
  </si>
  <si>
    <t>Estonia</t>
  </si>
  <si>
    <t>.LJP JPEG LossLess (EPIC24, auto-selection of best predictor)</t>
  </si>
  <si>
    <t>LZ4 1.3 -c2 (2012) Yann Collet</t>
  </si>
  <si>
    <t>MP3 [free public-domain corpus]</t>
  </si>
  <si>
    <t>JPG-2-DCT (decompress Huffman)</t>
  </si>
  <si>
    <t>packMP3 1.0 (2012) Matthias Stirner</t>
  </si>
  <si>
    <t>MP3Packer 1.25 -z (2012) R. Wilson</t>
  </si>
  <si>
    <t>uses base64</t>
  </si>
  <si>
    <t>E-Mail message</t>
  </si>
  <si>
    <t>FLV [854x480, 23.976 fps, 92.0 sec]</t>
  </si>
  <si>
    <t>1312 kbps VBR</t>
  </si>
  <si>
    <t>SWF Games</t>
  </si>
  <si>
    <t>GIF [cat1] 256 color Natural</t>
  </si>
  <si>
    <t>PNG [cat2] 24 Bit Natural</t>
  </si>
  <si>
    <t>WMA [08:58:000 6ch 44.1 kHz]</t>
  </si>
  <si>
    <t>256 kbps CBR</t>
  </si>
  <si>
    <t>SuperGif 1.5 www.boxtopsoft.com</t>
  </si>
  <si>
    <t>InstallAware Setup Squeezer</t>
  </si>
  <si>
    <t>ORIGINAL FILE (downloaded installer)</t>
  </si>
  <si>
    <t>RUN Linux Installer [AMD Catalyst 12.2]</t>
  </si>
  <si>
    <t>MSI Installer</t>
  </si>
  <si>
    <t>Inno Setup Installer [version 5.4.3]</t>
  </si>
  <si>
    <t>500 kbps VBR</t>
  </si>
  <si>
    <t>OGG [12:35 2ch 44.1 kHz]</t>
  </si>
  <si>
    <t>JPEG [mill 3264x4912x24 Bit]</t>
  </si>
  <si>
    <t>WISE Installer [WindowBlinds7_public.exe]</t>
  </si>
  <si>
    <t>.mt</t>
  </si>
  <si>
    <t>MTCompressor64 1.0 David Catt</t>
  </si>
  <si>
    <t>WSL 0.01 -b16384d64l50 Sergeo Sizikov</t>
  </si>
  <si>
    <t>.wsl</t>
  </si>
  <si>
    <t>APP</t>
  </si>
  <si>
    <t>XML</t>
  </si>
  <si>
    <t>BMA 1.35 -m64m -mx -ax A. Cherenkov</t>
  </si>
  <si>
    <t>GRZIP-II 0.2.4 -b8m -l -m4 Ilya Grebnov</t>
  </si>
  <si>
    <t>Packer 4.0β (2010) Piotr Rydz</t>
  </si>
  <si>
    <t>LZH (LHMelt 1.39-1.65c 32kb -jmA) (2012)</t>
  </si>
  <si>
    <t>ALZIP 8.5 .EGG optimized ESTSOFT</t>
  </si>
  <si>
    <t>XP v5 c2 (2010) ppmcontext</t>
  </si>
  <si>
    <t>12Ghosts 7.0 - 9.7 (ZIP2)</t>
  </si>
  <si>
    <t>HSTEST option -F (1990) Tom Ehlert</t>
  </si>
  <si>
    <t>filter + LZ + PPM (ROLZ)</t>
  </si>
  <si>
    <t>RZIP 2.1 -9 -L9 (2006) Andrew Tridgell</t>
  </si>
  <si>
    <t>QLFC 6.6w (blocksize 200 MB) Florin Ghido</t>
  </si>
  <si>
    <t>not extractable</t>
  </si>
  <si>
    <t>STUFFIT 11.0.0.34 (sitx) (SmithMicro)</t>
  </si>
  <si>
    <t>BWT + LZT + filter</t>
  </si>
  <si>
    <t>PPM-II + filter</t>
  </si>
  <si>
    <t>BWT + ARI + PPM-II + filter</t>
  </si>
  <si>
    <t>ROLZ + PPMZ + filters</t>
  </si>
  <si>
    <t>BWT + DCE + filter</t>
  </si>
  <si>
    <t>LZ77 + ARI + filters</t>
  </si>
  <si>
    <t>LZHDS + filter</t>
  </si>
  <si>
    <t>PPM + filters</t>
  </si>
  <si>
    <t>PPMd + filter</t>
  </si>
  <si>
    <t>ADMC + filter</t>
  </si>
  <si>
    <t>BWT + filter</t>
  </si>
  <si>
    <t>LZ + filters</t>
  </si>
  <si>
    <t>LZ77 + ARI + filter</t>
  </si>
  <si>
    <t>BWT, LZ + ARI, PPM + filter</t>
  </si>
  <si>
    <t>LZP + DMC + filter</t>
  </si>
  <si>
    <t>Symbol Ranking + filters</t>
  </si>
  <si>
    <t>Precomp 0.4.3 + FreeARC 0.67 ultra +exp B. Ziganshin</t>
  </si>
  <si>
    <t>* Intel Core i7 (Sandy Bridge)</t>
  </si>
  <si>
    <t>all contents from the Project Gutenberg ISO</t>
  </si>
  <si>
    <t>This test set indicates an archiver's skill to serve as lossless backup solution for data from mobile devices.</t>
  </si>
  <si>
    <t>PGM / PPM</t>
  </si>
  <si>
    <t>a collection (8 Bit PGM and 24 Bit PPM) of public domain images provided by Sachin Garg.</t>
  </si>
  <si>
    <t>the first 100 MB of wikipedia dumps in 10 languages (arabic, german, english, spanish, french, hindu, portuguese, russian, turkish, chinese)</t>
  </si>
  <si>
    <t>a collection of free sourcecodes such as those from 7-Zip 4.42, GIMP 2.3.1, Lazarus 0.9.20, Stellarium 0.8.2 and more.</t>
  </si>
  <si>
    <t>.asd</t>
  </si>
  <si>
    <t>HA 0.999b (1995) a21r Harri Hirvola</t>
  </si>
  <si>
    <t>.sb</t>
  </si>
  <si>
    <t>ARX 1.0 Michael A. Kosior</t>
  </si>
  <si>
    <t>.arx</t>
  </si>
  <si>
    <t>BWC 0.99d Willem Monsuwe</t>
  </si>
  <si>
    <t>LZ77 (?)</t>
  </si>
  <si>
    <t>England</t>
  </si>
  <si>
    <t>.pac</t>
  </si>
  <si>
    <t>CAR 1.50 (1996) Chris Campbell</t>
  </si>
  <si>
    <t>.dwc</t>
  </si>
  <si>
    <t>ASD 0.2.0 -m5 -mdh (1998) T. Svensson</t>
  </si>
  <si>
    <t>DWC 5.10 opt. az (1990) Dean W. Cooper</t>
  </si>
  <si>
    <t>.jrc</t>
  </si>
  <si>
    <t>Jrchive 1.10 (1992) JAYAR Systems</t>
  </si>
  <si>
    <t xml:space="preserve">AMIGA ShrinkIt / NULIB (LZW/2) </t>
  </si>
  <si>
    <t>AMIGA ShrinkIt / NULIB (LZW/1)</t>
  </si>
  <si>
    <t>AMIGA ShrinkIt / NULIB (Squeeze)</t>
  </si>
  <si>
    <t>AMIGA ShrinkIt / NULIB (16 Bit LZC)</t>
  </si>
  <si>
    <t>PPM 50 MB + LZ + ARI 291 MB</t>
  </si>
  <si>
    <t>http://ftp.sac.sk/sac/pack/</t>
  </si>
  <si>
    <t>ftp://ftp.sac.sk/pub/sac/pack</t>
  </si>
  <si>
    <t>a collection of public domain .JPEG, .MP3, .MP4, .MTS including some .JAR from sourceforge.net and .EPUB from http://gutenberg.org</t>
  </si>
  <si>
    <t>LZAP 0.20.0 beta (1998) Mike Goldman</t>
  </si>
  <si>
    <t>TAR is used when the program cannot compress all files of a testset in a single archive</t>
  </si>
  <si>
    <t>or when recurse through subdirectories does not work properly.</t>
  </si>
  <si>
    <t>ENC 0.15 a -g (2002) Serge Osnach</t>
  </si>
  <si>
    <t>Huffman / LZS / LZW</t>
  </si>
  <si>
    <t>MAR 1.0 -e:-ah0- (1994) Haruhiko Okumura</t>
  </si>
  <si>
    <t>LZS</t>
  </si>
  <si>
    <t>LZSDEMO 3.1 (1998) Stac Electronics</t>
  </si>
  <si>
    <t>oPAQue 1.0 (1999) Dmitry Dvoinikov</t>
  </si>
  <si>
    <t>.paq</t>
  </si>
  <si>
    <t>PPMZ 9.1 -b (1998) Charles Bloom</t>
  </si>
  <si>
    <t>.pmz</t>
  </si>
  <si>
    <t>.rax</t>
  </si>
  <si>
    <t>RAX 1.02 -max (1998) GeCAD</t>
  </si>
  <si>
    <t>LZ77 + Huffman</t>
  </si>
  <si>
    <t>LZSS + Huffman</t>
  </si>
  <si>
    <t>REDUQ 1.2 (2001) Jacco Mintjes</t>
  </si>
  <si>
    <t>.rdq</t>
  </si>
  <si>
    <t>PPMZ2 0.81 -l9 (2004) Charles Bloom</t>
  </si>
  <si>
    <t>.sz</t>
  </si>
  <si>
    <t>Austria</t>
  </si>
  <si>
    <t>BWT (ST6)</t>
  </si>
  <si>
    <t>SZIP 1.12a -b41 -o10 Michael Schindler</t>
  </si>
  <si>
    <t>Reiterative DMC</t>
  </si>
  <si>
    <t>.rdm</t>
  </si>
  <si>
    <t>RDMC 0.06b (2001) Jaime Tejedor Gómez</t>
  </si>
  <si>
    <t>SZIP 1.12a -b41 -o50 Michael Schindler</t>
  </si>
  <si>
    <t>.one</t>
  </si>
  <si>
    <t>.sar</t>
  </si>
  <si>
    <t>SAR 1.0 (1993) Streamline Design</t>
  </si>
  <si>
    <t>SQUISH 1.0 (1992) Mike Albert</t>
  </si>
  <si>
    <t>.squ</t>
  </si>
  <si>
    <t>.to4</t>
  </si>
  <si>
    <t xml:space="preserve">TOP4 1.03 Tobias Svensson </t>
  </si>
  <si>
    <t>LZSS + Huffman + RLE</t>
  </si>
  <si>
    <t>LZ + Huffman + ARI + MARKOV</t>
  </si>
  <si>
    <t>SEMONE 0.6b2 -mb/mm3 Vladimir Semenyuk</t>
  </si>
  <si>
    <t>XPA32 File Archiver 1.0.2 Jauming Tseng</t>
  </si>
  <si>
    <t>.sky</t>
  </si>
  <si>
    <t>SKY 1.15 -m4 (1997) Jean-Michel Herve</t>
  </si>
  <si>
    <t>.b1</t>
  </si>
  <si>
    <t>.tt</t>
  </si>
  <si>
    <t>TTCOMP (1993) SWFTE International Ltd.</t>
  </si>
  <si>
    <t>ABComp 2.06 (2000) Avinesh Bangar</t>
  </si>
  <si>
    <t>.abp</t>
  </si>
  <si>
    <t>.tar</t>
  </si>
  <si>
    <t>none</t>
  </si>
  <si>
    <t>ROLZ + ARI</t>
  </si>
  <si>
    <t>ARG 1.00.001 beta (1994) Igor Pavlov</t>
  </si>
  <si>
    <t>.arg</t>
  </si>
  <si>
    <t>Static Huffman</t>
  </si>
  <si>
    <t>PPM-II o9-128M + filter</t>
  </si>
  <si>
    <t>LZ77 + Huffman + PPM-II o9-128M</t>
  </si>
  <si>
    <t>LZ77 + Huffman + filter</t>
  </si>
  <si>
    <t>Huffman + BWT + MFT + RLE</t>
  </si>
  <si>
    <t>LZ77 + BW5 + PPMZ</t>
  </si>
  <si>
    <t>CCMx 1.30c opt. 7 Christian Martelock</t>
  </si>
  <si>
    <t>BTSPK 3.60b β1 (1998) Joszef Hidasi</t>
  </si>
  <si>
    <t>.bts</t>
  </si>
  <si>
    <t>GRZip 0.7.3 -8m -a -i -s (2003) Ilya Grebnov</t>
  </si>
  <si>
    <t>LZP + BWT/ST + MTF/WFC + filter</t>
  </si>
  <si>
    <t>SLIM 1.10 opt. 9 (1991) Dominic Herity</t>
  </si>
  <si>
    <t>MNZIP (2009) Michael Niedermayer</t>
  </si>
  <si>
    <t>BWT + QLFC + ARI</t>
  </si>
  <si>
    <t>Ireland</t>
  </si>
  <si>
    <t>.mn</t>
  </si>
  <si>
    <t>BBB 1.0 cm100 (2006) Matt Mahoney</t>
  </si>
  <si>
    <t>.bbb</t>
  </si>
  <si>
    <t>LZMA + filter</t>
  </si>
  <si>
    <t>InstallShield content [ForceWare 295.73]</t>
  </si>
  <si>
    <t>NanoZip 0.09 -cO -m2g ('11) Sami Runsas</t>
  </si>
  <si>
    <t>FP8_v3 -7 (2012) Jan Ondrus</t>
  </si>
  <si>
    <t>.lz</t>
  </si>
  <si>
    <t>LZIP 1.11 -9 (2010) Antonio Diaz Diaz</t>
  </si>
  <si>
    <t>packMP3 1.0c (2012) Matthias Stirner</t>
  </si>
  <si>
    <t>LBZIP2 0.23 -9 (2011) Laszlo Ersek</t>
  </si>
  <si>
    <t>.lzf</t>
  </si>
  <si>
    <t>RLC (2007) Bindesh Kumar Singh</t>
  </si>
  <si>
    <t>http://tpi.sourceforge.jp/index.php/News</t>
  </si>
  <si>
    <t>SCRNCH 1.02 /w /s (1988) G. McRae</t>
  </si>
  <si>
    <t>SafeMelt32 2.74-3.10 (2002) Team Schaft</t>
  </si>
  <si>
    <t>iROLZ (2010) Andrew Polar</t>
  </si>
  <si>
    <t>Stuffit 8.0-8.5 (sitx) (Alladin Systems)</t>
  </si>
  <si>
    <t>packJPG + packMP3 packPNM + packARI</t>
  </si>
  <si>
    <t>AACZIP (2005) Sound Genetics</t>
  </si>
  <si>
    <t>OGG REHUFF (2012)</t>
  </si>
  <si>
    <t>WinRar 4.20 solid best auto filter E. Roshal</t>
  </si>
  <si>
    <t>WinRar 4.20 solid best force PPMd E. Roshal</t>
  </si>
  <si>
    <t>.stz</t>
  </si>
  <si>
    <t>STZ 0.83 -c2 (2011) Bruno Wyttenbach</t>
  </si>
  <si>
    <t>LZBW2A</t>
  </si>
  <si>
    <t>Switches used</t>
  </si>
  <si>
    <t>ALL</t>
  </si>
  <si>
    <t>% Weighted</t>
  </si>
  <si>
    <t>ESPERANTO</t>
  </si>
  <si>
    <t>ARABIC</t>
  </si>
  <si>
    <t>HEBREW</t>
  </si>
  <si>
    <t>TURKISH</t>
  </si>
  <si>
    <t>VIETNAMESE</t>
  </si>
  <si>
    <t>MAORI</t>
  </si>
  <si>
    <t>TAGALOG</t>
  </si>
  <si>
    <t>ALBANIAN</t>
  </si>
  <si>
    <t>LITHUANIAN</t>
  </si>
  <si>
    <t>RUSSIAN</t>
  </si>
  <si>
    <t>AFRIKAANS</t>
  </si>
  <si>
    <t>DANISH</t>
  </si>
  <si>
    <t>DUTCH</t>
  </si>
  <si>
    <t>ENGLISH</t>
  </si>
  <si>
    <t>GERMAN</t>
  </si>
  <si>
    <t>NORWEGIAN</t>
  </si>
  <si>
    <t>SWEDISH</t>
  </si>
  <si>
    <t>FRENCH</t>
  </si>
  <si>
    <t>ITALIAN</t>
  </si>
  <si>
    <t>LATIN</t>
  </si>
  <si>
    <t>PORTUGUESE</t>
  </si>
  <si>
    <t>ROMANIAN</t>
  </si>
  <si>
    <t>SPANISH</t>
  </si>
  <si>
    <t>GREEK</t>
  </si>
  <si>
    <t>CROATIAN</t>
  </si>
  <si>
    <t>CZECH</t>
  </si>
  <si>
    <t>XHOSA</t>
  </si>
  <si>
    <t>CHINESE</t>
  </si>
  <si>
    <t>THAI</t>
  </si>
  <si>
    <t>KOREAN</t>
  </si>
  <si>
    <t>FINNISH</t>
  </si>
  <si>
    <t>HUNGARIAN</t>
  </si>
  <si>
    <t>Language family</t>
  </si>
  <si>
    <t>Afro-Asiatic</t>
  </si>
  <si>
    <t>Altaic</t>
  </si>
  <si>
    <t>Austro-Asiatic</t>
  </si>
  <si>
    <t>Austronesian</t>
  </si>
  <si>
    <t>Indo-European</t>
  </si>
  <si>
    <t>Niger-Congo</t>
  </si>
  <si>
    <t>Sino-Tibetan</t>
  </si>
  <si>
    <t>Tai-Kadai</t>
  </si>
  <si>
    <t>unclassified</t>
  </si>
  <si>
    <t>Uralic</t>
  </si>
  <si>
    <t>Subtype</t>
  </si>
  <si>
    <t>created by L.L. Zamenhof  in 1887</t>
  </si>
  <si>
    <t>Semitic</t>
  </si>
  <si>
    <t>Turkic</t>
  </si>
  <si>
    <t>Mon-Khmer</t>
  </si>
  <si>
    <t>Malayo-Polynesian</t>
  </si>
  <si>
    <t>Albanian</t>
  </si>
  <si>
    <t>Baltic</t>
  </si>
  <si>
    <t>Balto-Slavic</t>
  </si>
  <si>
    <t>Germanic</t>
  </si>
  <si>
    <t>Italic</t>
  </si>
  <si>
    <t>Proto-Greek</t>
  </si>
  <si>
    <t>Slavic</t>
  </si>
  <si>
    <t>Atlantic-Congo</t>
  </si>
  <si>
    <t>Chinese</t>
  </si>
  <si>
    <t>Kam-Tai</t>
  </si>
  <si>
    <t>Finno-Ugric</t>
  </si>
  <si>
    <t>spoken in</t>
  </si>
  <si>
    <t>United Arab Emirates</t>
  </si>
  <si>
    <t>Israel, Argentina, Brazil</t>
  </si>
  <si>
    <t>Turkey</t>
  </si>
  <si>
    <t>Vietnam</t>
  </si>
  <si>
    <t>Philippines</t>
  </si>
  <si>
    <t>Albania</t>
  </si>
  <si>
    <t>Belarus, Crimea, Russia</t>
  </si>
  <si>
    <t>South Africa</t>
  </si>
  <si>
    <t>nearly worldwide</t>
  </si>
  <si>
    <t>Germany, Austria</t>
  </si>
  <si>
    <t>Norway</t>
  </si>
  <si>
    <t>Africa, Europe</t>
  </si>
  <si>
    <t>Italy, San Marino</t>
  </si>
  <si>
    <t>Vatican City</t>
  </si>
  <si>
    <t>Angola, Brazil, Portugal</t>
  </si>
  <si>
    <t>Colombia, Cuba, Spain, Ecuador</t>
  </si>
  <si>
    <t>Greece</t>
  </si>
  <si>
    <t>Croatia</t>
  </si>
  <si>
    <t>Czech Repuplic</t>
  </si>
  <si>
    <t>South Africa, Lesotho</t>
  </si>
  <si>
    <t>China, Taiwan</t>
  </si>
  <si>
    <t>Thailand,       North Malaysia</t>
  </si>
  <si>
    <t>North Korea, South Korea</t>
  </si>
  <si>
    <t>Character Set Encoding</t>
  </si>
  <si>
    <t>UTF-8</t>
  </si>
  <si>
    <t>www.unboundbible.org</t>
  </si>
  <si>
    <t>-7</t>
  </si>
  <si>
    <t>-7 (900 MB)</t>
  </si>
  <si>
    <t>WinRK 3.0.3 beta</t>
  </si>
  <si>
    <t>option -5</t>
  </si>
  <si>
    <t>e -m800 -t1</t>
  </si>
  <si>
    <t>CM 1 GB</t>
  </si>
  <si>
    <t>7</t>
  </si>
  <si>
    <t>WinUDA 0.291</t>
  </si>
  <si>
    <t>Mode 3</t>
  </si>
  <si>
    <t>/m768</t>
  </si>
  <si>
    <t>- no options available -</t>
  </si>
  <si>
    <t>9</t>
  </si>
  <si>
    <t>66</t>
  </si>
  <si>
    <t>-o6 -m800 -tt+</t>
  </si>
  <si>
    <t>c 7</t>
  </si>
  <si>
    <t>-s0 -m9</t>
  </si>
  <si>
    <t>a -g -o8</t>
  </si>
  <si>
    <t>PPMD 768 MB o6 + dict</t>
  </si>
  <si>
    <t>PPMY 9a9</t>
  </si>
  <si>
    <t>/o76 /m800</t>
  </si>
  <si>
    <t>e -m800m -o6</t>
  </si>
  <si>
    <t>Bee 0.79 (BeeGUI)</t>
  </si>
  <si>
    <t>-m3 -d8 -s</t>
  </si>
  <si>
    <t>e -b128m -m3</t>
  </si>
  <si>
    <t>-m16m</t>
  </si>
  <si>
    <t>optimize for best cmp.</t>
  </si>
  <si>
    <t>-n16m -d11</t>
  </si>
  <si>
    <t>c -m3 -b63 -os</t>
  </si>
  <si>
    <t>PPM 32 MB</t>
  </si>
  <si>
    <t>Stuffit 11.0.1.48</t>
  </si>
  <si>
    <t>Best Text Compression</t>
  </si>
  <si>
    <t>128 MB PPM forced o16</t>
  </si>
  <si>
    <t>768 MB, word=8, solid</t>
  </si>
  <si>
    <t>solid, verify</t>
  </si>
  <si>
    <t>Maximum</t>
  </si>
  <si>
    <t>hyper, automatic</t>
  </si>
  <si>
    <t>RZM 0.07h</t>
  </si>
  <si>
    <t>420 MB PPM forced</t>
  </si>
  <si>
    <t>best asymmetric + PPM</t>
  </si>
  <si>
    <t>a -64m -mx</t>
  </si>
  <si>
    <t>c -m1 -d27 -l9</t>
  </si>
  <si>
    <t>c -me -b</t>
  </si>
  <si>
    <t>StuffIt 9.5</t>
  </si>
  <si>
    <t>e -b16383</t>
  </si>
  <si>
    <t>96 MB, mf=bt4, solid</t>
  </si>
  <si>
    <t>a2 (=HSC)</t>
  </si>
  <si>
    <t>MS Cabinet (LZX)</t>
  </si>
  <si>
    <t>level 21 (max)</t>
  </si>
  <si>
    <t>4 MB, maximum, solid</t>
  </si>
  <si>
    <t>-m0 -s -t8</t>
  </si>
  <si>
    <t>lh7 (64kb), 32kb Buffer</t>
  </si>
  <si>
    <t>WinZip 9.0 SR-1</t>
  </si>
  <si>
    <t>deflate 32, level 9</t>
  </si>
  <si>
    <t>16 MB dictionary</t>
  </si>
  <si>
    <t>/A</t>
  </si>
  <si>
    <t>WinMPQ 1.54</t>
  </si>
  <si>
    <t>Auto-Picks the best m..</t>
  </si>
  <si>
    <t>-v -s -m7</t>
  </si>
  <si>
    <t>Microsoft Compress 2.0 (1992)</t>
  </si>
  <si>
    <t>Microsoft Compress 1.02 (1993) -a3</t>
  </si>
  <si>
    <t>Microsoft Compress 1.11 (1999) -a3</t>
  </si>
  <si>
    <t>.ta$</t>
  </si>
  <si>
    <t>.doz</t>
  </si>
  <si>
    <t>PreComp 0.4.3 Christian Schneider</t>
  </si>
  <si>
    <t>.JPG (LIBJPEG 8d, 2012 06, Thomas Richter) -c -p -q 100 (lossless)</t>
  </si>
  <si>
    <t>.JPG (LIBJPEG 8d, 2012 09, Thomas Richter) -ls 0 -c (lossless)</t>
  </si>
  <si>
    <t>.JLS (JPEG-LS; CharLS -encodepnm in.ppm out.jls) 03.11.2010</t>
  </si>
  <si>
    <t>.CPD (PhotoK 0.1.0.1, www.kandalu.net, 30.07.2009) lossless</t>
  </si>
  <si>
    <t>SAC 0.0.6a4 (05.08.2007) --insane Sebastian</t>
  </si>
  <si>
    <t>is a descendant of the</t>
  </si>
  <si>
    <t>MMA 0.0a3 (09.08.2008) Christian Martelock</t>
  </si>
  <si>
    <t>think that lossless</t>
  </si>
  <si>
    <t>media compression</t>
  </si>
  <si>
    <t>is outdated and should</t>
  </si>
  <si>
    <t>you'd better think</t>
  </si>
  <si>
    <t>it over - newspapers,</t>
  </si>
  <si>
    <t>VHS video recordings,</t>
  </si>
  <si>
    <t>vinyl recordings,</t>
  </si>
  <si>
    <t>it exists. Our computers</t>
  </si>
  <si>
    <t>offer everlasting storage</t>
  </si>
  <si>
    <t>of data, and also offers</t>
  </si>
  <si>
    <t>lossless compression -</t>
  </si>
  <si>
    <t>so why reduce quality</t>
  </si>
  <si>
    <t>files straight from the</t>
  </si>
  <si>
    <t>beginning?</t>
  </si>
  <si>
    <t>DGCA 1.00 - 1.10e (2004-2006) Shin-ichi Tsuruta</t>
  </si>
  <si>
    <t>726.8 sec</t>
  </si>
  <si>
    <t>197.1 sec</t>
  </si>
  <si>
    <t>216.6 sec</t>
  </si>
  <si>
    <t>497.4 sec</t>
  </si>
  <si>
    <t>Real Audio Lossless (Real Player Basic 15.0.6 (.ra)</t>
  </si>
  <si>
    <t>WinZip 16.5.10095 (ZIPX) best method</t>
  </si>
  <si>
    <t>FreeARC 0.67 ultra (2012) Bulat Ziganshin</t>
  </si>
  <si>
    <t>OSQ Steinberg Wavelab 6 Essentials Original Sound Quality</t>
  </si>
  <si>
    <t>mp3HD commandline Encoder 1.5.0 02.02.2010) Fraunhofer IIS</t>
  </si>
  <si>
    <t>GZIP 1.3.12 (-9) (15.10.2007) Jean-Loup Gailly &amp; Mark Adler</t>
  </si>
  <si>
    <t>LTAC block length = 4096, (1998) Tilman Liebchen</t>
  </si>
  <si>
    <t>SONY Perfect Clarity Audio .PCA (Sound Forge Pro 10 Trial)</t>
  </si>
  <si>
    <t>table 1 of 2</t>
  </si>
  <si>
    <t>table 2 of 2</t>
  </si>
  <si>
    <t>STUFFIT 15 API 2.0.672.3563 (sitx) --comp-spec=2,25,2,1,+</t>
  </si>
  <si>
    <t>a-Pac 1.0 (09.02.1998)</t>
  </si>
  <si>
    <t>VOCPACK 1.0 (02.03.1993) Nicola Ferioli</t>
  </si>
  <si>
    <t>WavArc 1.1 (01.08.1997) -c5 (5ELP) Dennis Lee</t>
  </si>
  <si>
    <t>ADA 1.0 (1999) Advanced Digital Audio 1999, option 0</t>
  </si>
  <si>
    <t>AudioZIP 3 (31.10.2000) Daniel Cheong &amp; Desmond Ang</t>
  </si>
  <si>
    <t>Shorten 3.51-3.61 -c 2 -r 32.0 (14.02.2003) Tony Robinson</t>
  </si>
  <si>
    <t>MUSIcompress 3.0 (07.12.2001) Al Wegener</t>
  </si>
  <si>
    <t>Bonk lossless, predictor=512; Fre:ac (2010) Robert Kausch</t>
  </si>
  <si>
    <t>UHARC 0.6b (PPM, 32MB dict., Multimedia ) U. Herklotz</t>
  </si>
  <si>
    <t>WinAce 2.69 Final (4096 KB dict + Delta) Marcel Lemke</t>
  </si>
  <si>
    <t>DAKX Wav32 1.0 (13.12.1999) D. A. Kopf</t>
  </si>
  <si>
    <t>Litewave 1.0.011 (25.04.2002) ClearJump</t>
  </si>
  <si>
    <t>MIO COMPRESS 1.0 (23.10.2003) Leshade Entis</t>
  </si>
  <si>
    <t>Charlie 1.32-1.4 (23.11.2000) - v1.4 (01.06.2004) Aleksi Eeben</t>
  </si>
  <si>
    <t>VOCPACK 2.0 (01.09.1993) (-2 -6) Nicola Ferioli</t>
  </si>
  <si>
    <t>MultitrackStudio Lite 7.1 (2012) .GJS Bremmers Audio Design</t>
  </si>
  <si>
    <t>mkw Audio Compression Tool 0.97 Michael K. Weise</t>
  </si>
  <si>
    <t>runs for days</t>
  </si>
  <si>
    <t>SONICLS (Audacity + FFMPEG lossless audio coder; experimental)</t>
  </si>
  <si>
    <t>KrishnaSoft Sound Processing Software 1.0 (06.06.00) ELS-ultra</t>
  </si>
  <si>
    <t>KrishnaSoft Sound Processing Software 1.0 (06.06.00) ELS-arithmetic</t>
  </si>
  <si>
    <t>SONARC 2.1i (27.06.1994) -F4096 -O0 -S2 -X Speech Compression</t>
  </si>
  <si>
    <t>226.1 sec</t>
  </si>
  <si>
    <t>205.4 sec</t>
  </si>
  <si>
    <t xml:space="preserve">   uncompressed size</t>
  </si>
  <si>
    <t>Shun Ward • Stripper Luv</t>
  </si>
  <si>
    <t>Smooth Genestar • The Source</t>
  </si>
  <si>
    <t>Caalamus • Blues Alley</t>
  </si>
  <si>
    <t>Crystal Newton • Declaration Of Love</t>
  </si>
  <si>
    <t>Ändy • Have you seen the lizards</t>
  </si>
  <si>
    <t>New Age Hippies • Metamorphosia</t>
  </si>
  <si>
    <t>ACAPELLA</t>
  </si>
  <si>
    <t>AMBIENT</t>
  </si>
  <si>
    <t>BLUES</t>
  </si>
  <si>
    <t>POP</t>
  </si>
  <si>
    <t>ROCK</t>
  </si>
  <si>
    <t>TRANCE</t>
  </si>
  <si>
    <t>422.8 sec</t>
  </si>
  <si>
    <t>￭ streams: PCM, 2ch, 24 Bit @ 96kHz, 4608 kbps</t>
  </si>
  <si>
    <t>DRUM &amp; BASS</t>
  </si>
  <si>
    <t>Pendulum • The Island Pt.1 (Dawn)</t>
  </si>
  <si>
    <t>320.1 sec</t>
  </si>
  <si>
    <t>ELECTRONIC</t>
  </si>
  <si>
    <t>Tony McCoy • Electric Summer</t>
  </si>
  <si>
    <t>304.0 sec</t>
  </si>
  <si>
    <t>EUROPOP</t>
  </si>
  <si>
    <t>David Dupplaw • OpenIMAJ</t>
  </si>
  <si>
    <t>446.3 sec</t>
  </si>
  <si>
    <t>Brunette Models • Atlantis</t>
  </si>
  <si>
    <t>SONY ATRAC Advanced Lossless .AA3 (Sound Forge Pro 10 Trial)</t>
  </si>
  <si>
    <t>Squeez 5.63 (2008) SQX2 ultra 32 MB auto (SpeedCommander 14)</t>
  </si>
  <si>
    <t>CANON</t>
  </si>
  <si>
    <t>FUJI</t>
  </si>
  <si>
    <t>OLYMPUS</t>
  </si>
  <si>
    <t>RADIOGRAPH</t>
  </si>
  <si>
    <t>SIGMA</t>
  </si>
  <si>
    <t>SONY</t>
  </si>
  <si>
    <t>HUBBLE</t>
  </si>
  <si>
    <t>Bayer • 22.3x14.9mm</t>
  </si>
  <si>
    <t>Bayer •   23.6×15.8mm</t>
  </si>
  <si>
    <t>Bayer • 17.3×13.0mm</t>
  </si>
  <si>
    <t>X-Ray</t>
  </si>
  <si>
    <t>EXIF ITPC ICC GPS</t>
  </si>
  <si>
    <t>Foveon X3 • 20.7×13.8mm</t>
  </si>
  <si>
    <t>RAW Image Format (from which the .TIFF here comes)</t>
  </si>
  <si>
    <t xml:space="preserve">FreeARC 0.67 ultra (2012) Bulat Ziganshin </t>
  </si>
  <si>
    <t>QBIT 1.0.0.10 (22.05.2002) Daniel Kilbank</t>
  </si>
  <si>
    <t>SBC Archiver 0.970r3 (2008) -m3 -b63 -os Sami J. Makinen</t>
  </si>
  <si>
    <t>MEDICAL</t>
  </si>
  <si>
    <t>CALICa (29.04.1997) Xiaolin Wu</t>
  </si>
  <si>
    <t>.DCM DICOM 3.0 (Medical Image Format)</t>
  </si>
  <si>
    <t>PPMonstr var J -m800 -r0 (16.02.2006) Dmitry Shkarin</t>
  </si>
  <si>
    <t>EXIF ITPC XMP GPS</t>
  </si>
  <si>
    <t>CT • catheter</t>
  </si>
  <si>
    <t>MRI • shoulder</t>
  </si>
  <si>
    <t>Ultrasound • fetus, 17 weeks old</t>
  </si>
  <si>
    <t>.JPG (JPEG 9; cjpeg -block 1 -arithmetic) 19.05.2012, lossless</t>
  </si>
  <si>
    <t>.GPD (PhotoK 0.1.0.1, www.kandalu.net, 30.07.2009) lossless</t>
  </si>
  <si>
    <t>.JLS (jpegls.8bi, no color transform, 21.11.2001, lossless)</t>
  </si>
  <si>
    <t>.PNG OPTIPNG 0.71 HG -o7 (19.03.2012) Cosmin Truta</t>
  </si>
  <si>
    <t>.PNG PNGCRUSH 1.7.15 -brute (26.04.'11) Glenn Randers-Pehrson</t>
  </si>
  <si>
    <t>.PNG PNGOUT /c0 (02.07.2011) Ken Silverman</t>
  </si>
  <si>
    <t>GLICBAWLS (2001) Bernd Meyer &amp; Peter Tischer</t>
  </si>
  <si>
    <t>EDP (Edge Directed Precision; 31.12.2000) Xin Li</t>
  </si>
  <si>
    <t>.PNG File Optimizer 1.70.104 (2012) Javier Gutiérrez Chamorro</t>
  </si>
  <si>
    <t>ZPAQ 6.04 -add a.zpaq in.bmp -method bmp_j4 -tiny Matt Mahoney</t>
  </si>
  <si>
    <t>ARHANGEL 1.40 -mm -mf (18.01.2000) George Lyapko</t>
  </si>
  <si>
    <t>RICAZip 1.2 (CAPTEC, 12.05.2003)</t>
  </si>
  <si>
    <t>I have no trial</t>
  </si>
  <si>
    <t>Distance Coder 1.24 -b16300el (13.04.2000) Edgar Binder</t>
  </si>
  <si>
    <t>Genuine Fractals Print Pro 5.x lossless www.lizardtech.com</t>
  </si>
  <si>
    <t>BMI Zoner Bitmap Image</t>
  </si>
  <si>
    <t xml:space="preserve">.J2K JPEG2000 (lossless) Kakadu 7.1 (25.06.2012) </t>
  </si>
  <si>
    <t xml:space="preserve">.J2K JPEG2000 (lossless) www.openjpeg.org 1.5.1 (25.06.2012) </t>
  </si>
  <si>
    <t>CoBALP (06.09.2002) fastest; Tilo Strutz</t>
  </si>
  <si>
    <t>CoBALP (06.09.2002) max.; Tilo Strutz</t>
  </si>
  <si>
    <t>* for ISA Compress and CoBALP, Windows XP emulator (VMLite + Microsoft's free WindowsXPMode.exe)  was used.</t>
  </si>
  <si>
    <t xml:space="preserve">    test data license:</t>
  </si>
  <si>
    <t>program age in years</t>
  </si>
  <si>
    <t>average</t>
  </si>
  <si>
    <t>weighted</t>
  </si>
  <si>
    <t>COMPROLZ 0.1.0 -b256 (2012) Zhang Li</t>
  </si>
  <si>
    <t>.shrinker</t>
  </si>
  <si>
    <t>ARBC2Z (2006) David A. Scott</t>
  </si>
  <si>
    <t>.arbc2z</t>
  </si>
  <si>
    <t>TAR (Tape Archive) (2011) 7-Zip 9.29</t>
  </si>
  <si>
    <t>symbol ranking</t>
  </si>
  <si>
    <t>.kwc</t>
  </si>
  <si>
    <t>DZO Compressor 0.1.1 beta Essenso Lab</t>
  </si>
  <si>
    <t>.dzo</t>
  </si>
  <si>
    <t>deduplication + LZMA</t>
  </si>
  <si>
    <t>KWC 0.0.3.3 (2010) Sportsman</t>
  </si>
  <si>
    <t>.tlzp</t>
  </si>
  <si>
    <t>http://mattmahoney.net/dc/text.html</t>
  </si>
  <si>
    <t>NTFS (file system compression)</t>
  </si>
  <si>
    <t>unchanged</t>
  </si>
  <si>
    <t>LZT (Lempel-Ziv-Tamayo)</t>
  </si>
  <si>
    <t>.lzt</t>
  </si>
  <si>
    <t>LZGT3a (2008) Gerald R. Tamayo</t>
  </si>
  <si>
    <t>.bpe2</t>
  </si>
  <si>
    <t>Byte Pair Encoding</t>
  </si>
  <si>
    <t>BPE2 v3 (2010) Will</t>
  </si>
  <si>
    <t>jTarsaLZP (2012) Piotr Tarsa</t>
  </si>
  <si>
    <t>.symbra</t>
  </si>
  <si>
    <t>Symbra 0.2 -c6 -m5 -p2 F. Schwellinger</t>
  </si>
  <si>
    <t>LZMA / PPMd</t>
  </si>
  <si>
    <t>.contra</t>
  </si>
  <si>
    <t>.tinycm</t>
  </si>
  <si>
    <t>.tinylzp</t>
  </si>
  <si>
    <t>.lazy</t>
  </si>
  <si>
    <t>LAZY 1.0 option 5 (2012) Matt Mahoney</t>
  </si>
  <si>
    <t>RangeCoderC 1.8 c2 28 David Catt</t>
  </si>
  <si>
    <t>.range</t>
  </si>
  <si>
    <t>TinyCM 0.2 option 8 (2012) David Catt</t>
  </si>
  <si>
    <t>TinyLZP 0.1 (2012) David Catt</t>
  </si>
  <si>
    <t>bijective order-2 PPM</t>
  </si>
  <si>
    <t>SBC 0.970r3 -m3 -b63 -os Sami Makinen</t>
  </si>
  <si>
    <t>AAC / MP4 [497.4 sec 2ch 44.1 kHz]</t>
  </si>
  <si>
    <t>320 kbps VBR</t>
  </si>
  <si>
    <t>STUFFIT 14.0.1 (sitx) LZARI 5:27</t>
  </si>
  <si>
    <t>ZPAQ 6.11 -method 4 2 Matt Mahoney</t>
  </si>
  <si>
    <t>BZIP2 1.0.6 (2011) -9 Julian Seward</t>
  </si>
  <si>
    <t>PPMonstr var J -m800 Dmitry Shkarin</t>
  </si>
  <si>
    <t xml:space="preserve">FreeARC 0.67 ultra Bulat Ziganshin </t>
  </si>
  <si>
    <t>GUI</t>
  </si>
  <si>
    <t>PAQ7 (24.12.2005) -5 Matt Mahoney</t>
  </si>
  <si>
    <t>MTF + Elias Gamma</t>
  </si>
  <si>
    <t>.smi</t>
  </si>
  <si>
    <t>SMILE256 -e (2004) Andrew Frolov</t>
  </si>
  <si>
    <t xml:space="preserve">  - converted to Renoise 2.8.1 format</t>
  </si>
  <si>
    <t xml:space="preserve">  - converted to OpenMPT 1.20 format</t>
  </si>
  <si>
    <t xml:space="preserve">  - converted to Psycle 1.10 format</t>
  </si>
  <si>
    <t xml:space="preserve">  - converted to MO3 2.4 lossless format</t>
  </si>
  <si>
    <t xml:space="preserve">  - converted to MadTracker 2.6 format</t>
  </si>
  <si>
    <t>STUFFIT 15 API 2.0.672.3563 (sitx) --comp-spec=11,25,2,1,+</t>
  </si>
  <si>
    <t xml:space="preserve">  - converted to TIFF/deflate format</t>
  </si>
  <si>
    <t xml:space="preserve">  - converted to JPEG2000 lossless format</t>
  </si>
  <si>
    <t>STUFFIT 15 API 2.0.672.3563 (sitx) --comp-spec=11,27,2,1,+</t>
  </si>
  <si>
    <t xml:space="preserve">  - converted to PNG format</t>
  </si>
  <si>
    <t>uncompressed</t>
  </si>
  <si>
    <t>compressed</t>
  </si>
  <si>
    <t xml:space="preserve">ORIGINAL FILE unpacked </t>
  </si>
  <si>
    <t>.PDN Paint.net File Format</t>
  </si>
  <si>
    <t>.XCF GIMP 2.8.2 Image Format</t>
  </si>
  <si>
    <t>.PFI PhotoFiltre Studio X 10.7.3 (01.12.2012)</t>
  </si>
  <si>
    <t>.TGA TARGA Format (RLE) (XnView 1.99.6)</t>
  </si>
  <si>
    <t>.TIFF/deflate Format (XnView 1.99.6)</t>
  </si>
  <si>
    <t>.PNG Format (LZ77) (XnView 1.99.6)</t>
  </si>
  <si>
    <t>.KRO Kolor RAW Format  (XnView 1.99.6)</t>
  </si>
  <si>
    <t>.IFF Explore (TDI) &amp; Maya File Format (RLE) (XnView 1.99.6)</t>
  </si>
  <si>
    <t>.PIC Softimage File Format (RLE) (XnView 1.99.6)</t>
  </si>
  <si>
    <t>.RGB Silicon Graphics File Format (RLE) (XnView 1.99.6)</t>
  </si>
  <si>
    <t>.TIFF/packbits (lossless) (XnView 1.99.6)</t>
  </si>
  <si>
    <t>.PCX Zsoft Publisher's Paintbrush Format (RLE) (XnView 1.99.6)</t>
  </si>
  <si>
    <t>.BMP Windows Bitmap (RLE) (XnView 1.99.6)</t>
  </si>
  <si>
    <t>.TIFF (uncompressed) (XnView 1.99.6)</t>
  </si>
  <si>
    <t>.GIF GIF89a (XnView 1.99.6)</t>
  </si>
  <si>
    <t>.TIFF/lzw + predictor Format (XnView 1.99.6)</t>
  </si>
  <si>
    <t>.TIFF/lzw Format (XnView 1.99.6)</t>
  </si>
  <si>
    <t>.SLI StudioLine Photo Classic 3 Plus</t>
  </si>
  <si>
    <t>.MPZ MyPhotoZip 1.50 (04.04.2003) lossless</t>
  </si>
  <si>
    <t>LZR / PPM (o8, 768 MB) + filter</t>
  </si>
  <si>
    <t>info@squeezechart.com</t>
  </si>
  <si>
    <t>squeezechart@gmx.de</t>
  </si>
  <si>
    <t>￭ stream: PCM, 2ch, 16 Bit @ 44.1kHz, 1411.2 kbps</t>
  </si>
  <si>
    <t>.lpaq7e</t>
  </si>
  <si>
    <t>.lpaq9m</t>
  </si>
  <si>
    <t>.paq8o8p</t>
  </si>
  <si>
    <t>.paq8px</t>
  </si>
  <si>
    <t>.paq8pxd</t>
  </si>
  <si>
    <t>.paq8o5</t>
  </si>
  <si>
    <t>.paq8o</t>
  </si>
  <si>
    <t>.paq8d</t>
  </si>
  <si>
    <t>.paq8jc</t>
  </si>
  <si>
    <t>.paq8l</t>
  </si>
  <si>
    <t>.fp8</t>
  </si>
  <si>
    <t>Czech Republic</t>
  </si>
  <si>
    <t>.paq8f</t>
  </si>
  <si>
    <t>.paq8i</t>
  </si>
  <si>
    <t>.paq8hp12</t>
  </si>
  <si>
    <t>.pasqda</t>
  </si>
  <si>
    <t>.paqar</t>
  </si>
  <si>
    <t>.uda</t>
  </si>
  <si>
    <t>.dur</t>
  </si>
  <si>
    <t>.paq6</t>
  </si>
  <si>
    <t>USA &amp; Russia &amp; Italy</t>
  </si>
  <si>
    <t>.paq7</t>
  </si>
  <si>
    <t>ASH 0.7 /m2200 /s255 /o32 E. Shelwien</t>
  </si>
  <si>
    <t>.oca</t>
  </si>
  <si>
    <t>DMC + PPM + Match</t>
  </si>
  <si>
    <t>.paq4</t>
  </si>
  <si>
    <t>.scm</t>
  </si>
  <si>
    <t>BARRED -b 100 (2009) Frank Jennings</t>
  </si>
  <si>
    <t>RLE + BWT + MTF + Huffman</t>
  </si>
  <si>
    <t>Staticcomp 1.0 -c -g5 -b6 Tomas Benek</t>
  </si>
  <si>
    <t>.sc</t>
  </si>
  <si>
    <t>.lcssr</t>
  </si>
  <si>
    <t>ASHFORD opt. 4 (1991) Charles Ashford</t>
  </si>
  <si>
    <t xml:space="preserve"> unknown -</t>
  </si>
  <si>
    <t>CTS 1.0 -depth 4 (2012) Joel Veness</t>
  </si>
  <si>
    <t>.faccts</t>
  </si>
  <si>
    <t>Camera RAW</t>
  </si>
  <si>
    <t>an open testset that includes 25 camera raw images from 25 different cameras.</t>
  </si>
  <si>
    <t>an open testset that consisrs of the portable free open-sourced office suite called "Libre Office"</t>
  </si>
  <si>
    <t>CMM4 0.2b 96 (2008) Christopher Mattern</t>
  </si>
  <si>
    <t>GraLIC 1.11 demo (30.07.11) A. Rhatushnyak, Graystone CT Inc.</t>
  </si>
  <si>
    <t>ERI 5.1fre (02.02.2002) Alexander Rhatushnyak</t>
  </si>
  <si>
    <t>CAMERA RAW</t>
  </si>
  <si>
    <t>LZF 3.6 vf (2011) Marc Lehmann (fsbench)</t>
  </si>
  <si>
    <t>BlakHole (2004) (WinHKI)</t>
  </si>
  <si>
    <t>ARJ 2.8 - 3.20  -m1 -r Robert K. Jung</t>
  </si>
  <si>
    <t>PeaZip 3.3-4.7.2 .PEA better Giorgio Tani</t>
  </si>
  <si>
    <t>not updated regularly</t>
  </si>
  <si>
    <t>4x4 0.2 Option 5 (2008) Bulat Ziganshin</t>
  </si>
  <si>
    <t>4x4 0.2 Option 9 (2008) Bulat Ziganshin</t>
  </si>
  <si>
    <t>Stuffit 7.0-7.5 (2002) Aladdin Systems</t>
  </si>
  <si>
    <t>PBZIP2 1.1.7 -p8 -9 J.Seward &amp; J.Gilchrist</t>
  </si>
  <si>
    <t>ZZIP 0.36 -56m -mm -mx Damien Debin</t>
  </si>
  <si>
    <t>BMA 1.33 -m16m -a (2006) A. Cherenkov</t>
  </si>
  <si>
    <t>Distance Coder 1.24 -b16300el Edgar Binder</t>
  </si>
  <si>
    <t>ALZIP 8.5 .EGG solid, p. on ratio ESTSOFT</t>
  </si>
  <si>
    <t>Precomp 0.4.3 + 7-ZIP 9.3.0 ultra 128MB</t>
  </si>
  <si>
    <t>.tqr</t>
  </si>
  <si>
    <t>STUFFIT 14.0.1.27 (2010) bit-perfect</t>
  </si>
  <si>
    <t>LZARI 5:28 / PPM 16:30</t>
  </si>
  <si>
    <t>not lossless</t>
  </si>
  <si>
    <t>UCL 1.03 M. Oberhumer (Simplyzip)</t>
  </si>
  <si>
    <t>LHARK 0.4d -tob (1997) Kerwin F. Medina</t>
  </si>
  <si>
    <t>LGHA 1.1g /c30000 /l16383 George Lyapko</t>
  </si>
  <si>
    <t>Arhangel 1.40  -1 -2 -mt -mm/5/8 -l31900 G. Lyapko</t>
  </si>
  <si>
    <t>http://www.compressionratings.com/files/squeezechart_app.7z</t>
  </si>
  <si>
    <t>http://www.squeezechart.com/TEST_Audio.arc</t>
  </si>
  <si>
    <t>http://www.imagecompression.info/test_images/squeezechart_camera_raw.zip</t>
  </si>
  <si>
    <t>http://www.compressionratings.com/files/squeezechart_gutenberg.7z</t>
  </si>
  <si>
    <t>http://www.compressionratings.com/files/squeezechart_installer.7z</t>
  </si>
  <si>
    <t>http://www.compressionratings.com/files/squeezechart_mobile.7z</t>
  </si>
  <si>
    <t>http://www.compressionratings.com/files/squeezechart_pgm.7z</t>
  </si>
  <si>
    <t>http://www.compressionratings.com/files/squeezechart_src.7z</t>
  </si>
  <si>
    <t>http://www.compressionratings.com/files/squeezechart_xml.7z</t>
  </si>
  <si>
    <t>.sma</t>
  </si>
  <si>
    <t>packARC 0.7rc9 (2012) Matthias Stirner</t>
  </si>
  <si>
    <t>ZOPFLI --i5 (2013) Lode Vandevenne</t>
  </si>
  <si>
    <t>Switzerland</t>
  </si>
  <si>
    <t>MINIZ 1.14 -m10 (2012) Rich Geldreich</t>
  </si>
  <si>
    <t>.miniz</t>
  </si>
  <si>
    <t>Tornado 0.5 (fsbench) -11 Bulat Ziganshin</t>
  </si>
  <si>
    <t>-method 9</t>
  </si>
  <si>
    <t>.mcm</t>
  </si>
  <si>
    <t>TANGELO 1.0 (2013) Jan Ondrus</t>
  </si>
  <si>
    <t>.tan</t>
  </si>
  <si>
    <t>Fast CM + filter</t>
  </si>
  <si>
    <t>ZPAQ 6.33 -method 77 ('13) Matt Mahoney</t>
  </si>
  <si>
    <t>BWT + CM</t>
  </si>
  <si>
    <t>LZPXJ 1.2h opt. 9 (2007) Ilya Muravyov</t>
  </si>
  <si>
    <t>TC 5.2 Dev 2 (2007) Ilya Muravyov</t>
  </si>
  <si>
    <t>TC 5.1 Dev. 7x (512 MB) Ilya Muravyov</t>
  </si>
  <si>
    <t>TC 5.1 Dev 6 (2006) Ilya Muravyov</t>
  </si>
  <si>
    <t>PPMX 0.08 (2012) Ilya Muravyov</t>
  </si>
  <si>
    <t>QUAD 1.12 Final -x (2007) Ilya Muravyov</t>
  </si>
  <si>
    <t>PPMX 0.07 (2011) Ilya Muravyov</t>
  </si>
  <si>
    <t>PIM 1.25 (2006) Ilya Muravyov</t>
  </si>
  <si>
    <t>LZPXJ 1.0e (2006) Ilya Muravyov</t>
  </si>
  <si>
    <t>LZPX 1.5b (2005) Ilya Muravyov</t>
  </si>
  <si>
    <t>FCM3-RC (2008) Ilya Muravyov</t>
  </si>
  <si>
    <t>FCM2P3 (2008) Ilya Muravyov</t>
  </si>
  <si>
    <t>TC 4.3 (2005) Ilya Muravyov</t>
  </si>
  <si>
    <t>LZW 0.2 (2008) Ilya Muravyov</t>
  </si>
  <si>
    <t>LZP + Fast CM</t>
  </si>
  <si>
    <t>Fast CM + E8E9</t>
  </si>
  <si>
    <t>Dedup. + Fast CM + filter</t>
  </si>
  <si>
    <t>LZMA2lc4:128; PPMd:1024 o10 + delta:3</t>
  </si>
  <si>
    <t>Dedup. + LZMA + PPMd + GRZip + TTA</t>
  </si>
  <si>
    <t>LPAQ1 -9 (2007) Matt Mahoney et al.</t>
  </si>
  <si>
    <t>BIT 0.7 LWCX -P=5 Osman Turan</t>
  </si>
  <si>
    <t>PAQAR 4 -8 (2004) Matt Mahoney et al.</t>
  </si>
  <si>
    <t>UDA 0.301 (2006) Dwing</t>
  </si>
  <si>
    <t>WinUDA 0.291 Mode-3 (2005) Dwing</t>
  </si>
  <si>
    <t>PAsQDa v4.4 -8e (2006) Matt Mahoney et al.</t>
  </si>
  <si>
    <t>Durilca 0.5 (Hutter) -o13 -m700 -t1 D. Shkarin</t>
  </si>
  <si>
    <t>OCAMYD 1.66 RC 6 -s0 -m9 F. Schwellinger</t>
  </si>
  <si>
    <t>OCAMYD 1.65 Final -s0 -m9 F. Schwellinger</t>
  </si>
  <si>
    <t>LPAQ9m -9 (2009) Matt Mahoney et al.</t>
  </si>
  <si>
    <t>UHARC 0.6b -mx/-m3 -mm+ U. Herklotz</t>
  </si>
  <si>
    <t>Compressia 1.0b max, 15MB, english, solid Yaakov Gringeler</t>
  </si>
  <si>
    <t>MComp 2.00 -mw -M400m (2008) M. Taylor</t>
  </si>
  <si>
    <t>NanoZip 0.09 -cDP 2GB ('11) Sami Runsas</t>
  </si>
  <si>
    <t>M99 128 MB -m ('07) Michael A. Maniscalco</t>
  </si>
  <si>
    <t>M99 32 MB -m ('07) Michael A. Maniscalco</t>
  </si>
  <si>
    <t>MComp 2.00 -mc -M512m (2008) M. Taylor</t>
  </si>
  <si>
    <t>PIM 2.90 (Best) (2009) Ilya Muravyov</t>
  </si>
  <si>
    <t>PIM 2.50 (Best) (2008) Ilya Muravyov</t>
  </si>
  <si>
    <t>LZPM 0.16 mode ex (2008) Ilya Muravyov</t>
  </si>
  <si>
    <t>BALZ 1.15 Mode ex (2008) Ilya Muravyov</t>
  </si>
  <si>
    <t>UFA 0.04 β 1 -mx -mu32 -s -mg Igor Pavlov</t>
  </si>
  <si>
    <t>M99 2.2.1 -m 128m Michael A. Maniscalco</t>
  </si>
  <si>
    <t>7-ZIP 2.3 β 28 solid max (2003) Igor Pavlov</t>
  </si>
  <si>
    <t>M99 2.2.1 -m 32m Michael A. Maniscalco</t>
  </si>
  <si>
    <t>Tornado 0.4 -12 (2008) Bulat Ziganshin</t>
  </si>
  <si>
    <t>ICE-OWS max (2002) Raphaël Mounier</t>
  </si>
  <si>
    <t>EXP1 Experimental Archiver 1.0 B. Ziganshin</t>
  </si>
  <si>
    <t>Urban Compressor ('91) U. Koistinen</t>
  </si>
  <si>
    <t>Tornado 0.3 default (2008) Bulat Ziganshin</t>
  </si>
  <si>
    <t>BRED 3.0 -M16 -m729 ('97) David Wheeler</t>
  </si>
  <si>
    <t>JAR32 1.02 -m4 (1997) Robert Jung</t>
  </si>
  <si>
    <t>THOR 0.96α e4 (2007) Oscar Garcia</t>
  </si>
  <si>
    <t>Etincelle RC2 (2010) Yann Collet</t>
  </si>
  <si>
    <t>THOR 0.96α e5 (2007) Oscar Garcia</t>
  </si>
  <si>
    <t>Tornado 0.1 -12 -b100 Bulat Ziganshin</t>
  </si>
  <si>
    <t>HIT 2.10 a -x (1994) Bogdan Ureche</t>
  </si>
  <si>
    <t>Huffman Comp. Engine II 0.21q -lh8- Joe Jared</t>
  </si>
  <si>
    <t>DZIP 2.9 (2003) S. Schwoon &amp; N. Pflug</t>
  </si>
  <si>
    <t>BSA 2.0 -a .bsn  (1995) PTS Ltd.</t>
  </si>
  <si>
    <t>HPACK 0.79 -U (1993) P.C. Gutmann</t>
  </si>
  <si>
    <t>ULZ 0.2 c6 (best) (2010) Ilya Muravyov</t>
  </si>
  <si>
    <t>CrossePAC 1.35 (1994) Digital Strategies, Inc.</t>
  </si>
  <si>
    <t>Hyper 2.6 -a (1992) Peter Sawatzki</t>
  </si>
  <si>
    <t>Scifer beta -Text (2008) Senthil Kumar R.</t>
  </si>
  <si>
    <t>SBX 1.4 (1999) SpinnerBaker Software</t>
  </si>
  <si>
    <t>LZSS 0.01 Mode ex (2008) Ilya Muravyov</t>
  </si>
  <si>
    <t>PKZIP 0.92 -ex Reduce 4  (1989) Phil Katz</t>
  </si>
  <si>
    <t>PKZIP 1.10 -es Shrink max (1990) Phil Katz</t>
  </si>
  <si>
    <t>DOZ -c (1993) Joe Orost</t>
  </si>
  <si>
    <t>JARCS 0.94 -C4 -S (1995) Junichi Uekawa</t>
  </si>
  <si>
    <t>FIN (1991) Puttonen &amp; Raita &amp; Teuhola</t>
  </si>
  <si>
    <t>NICE (2003) S. Pötschner &amp; W. Scherer</t>
  </si>
  <si>
    <t>.crush</t>
  </si>
  <si>
    <t>Israel</t>
  </si>
  <si>
    <t>CRUSH 1.0 cx (2013) Ilya Muravyov</t>
  </si>
  <si>
    <t>FP8 -8 (2010) Jan Ondrus</t>
  </si>
  <si>
    <t>FP8 v2 -8 (2012) Jan Ondrus</t>
  </si>
  <si>
    <t>FP8 v3 -8 (2012) Jan Ondrus</t>
  </si>
  <si>
    <t>BWT + ARI + Distance Coding</t>
  </si>
  <si>
    <t>PPM-II + VARIable Context</t>
  </si>
  <si>
    <t>BWT + MTF + RLE + ARI</t>
  </si>
  <si>
    <t>BTW + MSufSort3.1 + ARI</t>
  </si>
  <si>
    <t>BWT (DifSufSort Lite) + ARI</t>
  </si>
  <si>
    <t>BWT + MSufSort3.1 + ARI</t>
  </si>
  <si>
    <t>BulgARIa</t>
  </si>
  <si>
    <t>LZ VARIant</t>
  </si>
  <si>
    <t>AIN 2.32 -m1 (1996) Transas MARIne Ltd.</t>
  </si>
  <si>
    <t>LZ vARIant</t>
  </si>
  <si>
    <t>weighted average of file sizes in percent</t>
  </si>
  <si>
    <t>-</t>
  </si>
  <si>
    <t>WIC lossless image compressor final (2013) (input=bmp)</t>
  </si>
  <si>
    <t>.LSP S+P 3.0.1 (1996) A. Said &amp; W.A. Pearlman (lossless) (input=RAS)</t>
  </si>
  <si>
    <t xml:space="preserve">.J2K JPEG2000 (lossless) Kakadu 7.2.2 (10.04.2013) </t>
  </si>
  <si>
    <t xml:space="preserve">.J2K JPEG2000 (lossless) www.openjpeg.org 2.0 (01.12.2012) </t>
  </si>
  <si>
    <t>.JPG (JPEG 9; cjpeg -rgb1 -block 1 -arithmetic) 19.05.2012, lossless (input=pnm)</t>
  </si>
  <si>
    <t>.JPG (LIBJPEG 8d, 2012 09) -p -c -a (lossless)</t>
  </si>
  <si>
    <t>.PNG Format (LZ77) (OPTIPNG HG -fastest 21.10.2012)</t>
  </si>
  <si>
    <t>.TIFF/deflate Format (LIBTIFF 4.0.0, ppm2tiff -c zip:2)</t>
  </si>
  <si>
    <t>QBIT 1.0.0.10 (qbit.exe QBIT input.bmp) (22.05.2002) Daniel Kilbank</t>
  </si>
  <si>
    <t>.JPG (LIBJPEG 8d, 2012 09) -p -c -q 100 (lossless)</t>
  </si>
  <si>
    <t>ZPAQ 6.36 -method bmp_j4 -tiny -add arc in.bmp (2013) M. Mahoney (input=bmp)</t>
  </si>
  <si>
    <t>LPAQ7e -9 (2007) Matt Mahoney et al.</t>
  </si>
  <si>
    <t>LPAQ4e -9 (2007) Matt Mahoney et al.</t>
  </si>
  <si>
    <t>JXRLIB 1.1 (28.05.23013) Microsoft Corporation</t>
  </si>
  <si>
    <t>￭ RGB, 24 Bit in uncompressed .TIFF format</t>
  </si>
  <si>
    <t>6275 bytes</t>
  </si>
  <si>
    <t>3389 bytes</t>
  </si>
  <si>
    <t>1143 bytes</t>
  </si>
  <si>
    <t>6887 bytes</t>
  </si>
  <si>
    <t>4.460 bytes</t>
  </si>
  <si>
    <t>9.139 bytes</t>
  </si>
  <si>
    <t>7886 bytes</t>
  </si>
  <si>
    <t>Dictionary Coding</t>
  </si>
  <si>
    <t>SHARC 0.9.6 -c1 (2013) Guillaume Voirin</t>
  </si>
  <si>
    <t>.sha</t>
  </si>
  <si>
    <t>SAC 0.0.6a4 --insane (05.08.2007) Sebastian</t>
  </si>
  <si>
    <t>OptimFrog 4.910ex --maximumcompression -experimental (11.02.'11)</t>
  </si>
  <si>
    <t>LA 0.4b -high (08.02.2004) Michael Bevin</t>
  </si>
  <si>
    <t>OptimFrog 4.910ex --maximumcompression (11.02.'11) Florin Ghido</t>
  </si>
  <si>
    <t>LA 0.3c (27.10.2002) Michael Bevin</t>
  </si>
  <si>
    <t>OptimFrog 4.910ex --mode bestnew -optimize best (11.02.'11)</t>
  </si>
  <si>
    <t>LA 0.4b (08.02.2004) Michael Bevin</t>
  </si>
  <si>
    <t>LA 0.2 (07.09.2002) Michael Bevin</t>
  </si>
  <si>
    <t>OptimFrog 4.910ex --mode extranew (11.02.'11) Florin Ghido</t>
  </si>
  <si>
    <t>OptimFrog 4.910ex --mode highnew (11.02.'11) Florin Ghido</t>
  </si>
  <si>
    <t>Monkey's Audio 4.1.2 insane (2013) Matthew T. Ashland</t>
  </si>
  <si>
    <t>WinRK 3.1.2 beta best asymmetric (2005) Malcolm Taylor</t>
  </si>
  <si>
    <t>TAK 2.2.0 -p4m (29.05.2011) Thomas Becker</t>
  </si>
  <si>
    <t>WAVPACK 4.60.1 -HHX6 (29.11.2009) David Bryant</t>
  </si>
  <si>
    <t>MPEG-4 ALS RM23 -i -o1023 -a -b -z3 -p (29.01.2011)</t>
  </si>
  <si>
    <t>FlaCCL 0.4  -11 -b 4096 (14.06.2011) Gregory S. Chudov</t>
  </si>
  <si>
    <t>WavArc 1.1 -c5 (5ELP) (01.08.1997) Dennis Lee</t>
  </si>
  <si>
    <t>SBC Archiver 0.970r3 -m3 -b63  (2008) Sami J. Makinen</t>
  </si>
  <si>
    <t>WAVPACK 4.60.1 (29.11.2009) David Bryant</t>
  </si>
  <si>
    <t>mp3HD commandline Encoder 1.5.0 (02.02.2010) Fraunhofer IIS</t>
  </si>
  <si>
    <t>SONARC 2.1i -F4096 -O0 -S2 -X (27.06.1994) Speech Compression</t>
  </si>
  <si>
    <t>KrishnaSoft Sound Processing Software 1.0 ELS-ultra (06.06.00)</t>
  </si>
  <si>
    <t>KrishnaSoft Sound Processing Software 1.0 ELS-arithmetic (06.06.00)</t>
  </si>
  <si>
    <t>CCMx 1.30c (option 7) (24.04.2008) Christian Martelock</t>
  </si>
  <si>
    <t>Charlie 1.32-1.4 (2000-2004) Aleksi Eeben</t>
  </si>
  <si>
    <t>ADA 1.0 option 0 (1999) Advanced Digital Audio</t>
  </si>
  <si>
    <t>VOCPACK 2.0 -2 -6 (01.09.1993) Nicola Ferioli</t>
  </si>
  <si>
    <t>BZIP2 1.0 -9 (2008) Julian Seward</t>
  </si>
  <si>
    <t>GZIP 1.3.12 -9 (15.10.2007) Jean-Loup Gailly &amp; Mark Adler</t>
  </si>
  <si>
    <t>Monkey's Audio 3.9.9 insane (2004) Matthew T. Ashland</t>
  </si>
  <si>
    <t>TAK 2.3.0 final -p4m (18.06.2013) Thomas Becker</t>
  </si>
  <si>
    <t>TTA TrueAudio 3.4.1 (27.07.2007) Aleksander Djuric</t>
  </si>
  <si>
    <t>FLAC 1.2.1  -8 -b 4096 (17.09.2007) Josh Coalson</t>
  </si>
  <si>
    <t>WAVPACK 4.70.0 beta x64 -HHX6 (23.05.2013) David Bryant</t>
  </si>
  <si>
    <t>WAVPACK 4.70.0 beta x64 (23.05.2013) David Bryant</t>
  </si>
  <si>
    <t>PAQ8pxd_v4 -7 (19.04.2012) Matt Mahoney et al.</t>
  </si>
  <si>
    <t>ALAC (APPLE lossless) refalac64 1.18 (01.04.2013)</t>
  </si>
  <si>
    <t>WMA 0.2.9b --codec lossless (28.02.2013) Microsoft Corporation</t>
  </si>
  <si>
    <t>FLAKE 0.11 -12 (05.08.2007) (faster FLAC encoder) Justin Ruggles</t>
  </si>
  <si>
    <t>RKAU 1.07 -l3 (11.12.2000) Malcolm Taylor</t>
  </si>
  <si>
    <t>Squeez 5.63 SQX2 ultra 32 MB auto (2008) (SpeedCommander 14)</t>
  </si>
  <si>
    <t>FreeARC 0.67 ultra (2012) Bulat Ziganshin (uses TTA)</t>
  </si>
  <si>
    <t>LPAC 1.41 -5 -a -b8192 -f (01.10.2002) Tilman Liebchen</t>
  </si>
  <si>
    <t>UHARC 0.6b -mx -mm+ -md+ -md32768 (2005) Uwe Herklotz</t>
  </si>
  <si>
    <t>Onda Lossless Audio 3.2 (java -jar onda.jar) (16.06.2013)</t>
  </si>
  <si>
    <t>AudioZIP 3 (maximum) (31.10.2000) Daniel Cheong &amp; Desmond Ang</t>
  </si>
  <si>
    <t>OptimFrog 4.910ex --mode bestnew -optimize best (11.02.'11) Florin Ghido</t>
  </si>
  <si>
    <t>MPEG-4 ALS RM23 -7 -a (29.01.2011)</t>
  </si>
  <si>
    <t>FlaCCL 0.4 -11 -b 4096 (14.06.2011) Gregory S. Chudov</t>
  </si>
  <si>
    <t>SBC Archiver 0.970r3 -m3 -b63 (2008) Sami J. Makinen</t>
  </si>
  <si>
    <t>arithmetic Coding</t>
  </si>
  <si>
    <t>order-0 arithmetic coder</t>
  </si>
  <si>
    <t>RLE + Huffman</t>
  </si>
  <si>
    <t>BWT + MTF-2 + ZLE + Huffman</t>
  </si>
  <si>
    <t>BWT + Huffman</t>
  </si>
  <si>
    <t>ROLZ + Huffman</t>
  </si>
  <si>
    <t>LZ77 + SF + Huffman</t>
  </si>
  <si>
    <t>64kb LZSS + 32 kb Huffman</t>
  </si>
  <si>
    <t>LHA 2.55 - 2.67 (1992) lh5, 16kb Huffman</t>
  </si>
  <si>
    <t>64 kb LZSS + 16 kb Huffman</t>
  </si>
  <si>
    <t>LZSS (LZ4) + Huffman0</t>
  </si>
  <si>
    <t>LZ variant</t>
  </si>
  <si>
    <t>Order 0 + asymmetric Binary Coder</t>
  </si>
  <si>
    <t>LZ77 + Huffman / RLE</t>
  </si>
  <si>
    <t>experimental DMC</t>
  </si>
  <si>
    <t>ZCM 0.88 -m7 -r -s (2013) Francesco Nania</t>
  </si>
  <si>
    <t>ZCM 0.70d -m7 -r -s (2012) Francesco Nania</t>
  </si>
  <si>
    <t>Durilca'light 0.5 -m800 -o32 Dmitry Shkarin</t>
  </si>
  <si>
    <t>LZP (2008) Dmitry Shkarin</t>
  </si>
  <si>
    <t>YZX 0.11 -r -s -m9 -b8 -h5 Francesco Nania</t>
  </si>
  <si>
    <t>RINGS 2.0 -s -r -m7 (2013) Francesco Nania</t>
  </si>
  <si>
    <t>COMPROLZ 0.10.0 -b250 -F -f  Zhang Li</t>
  </si>
  <si>
    <t>Disintegrator 0.9b  -mg -4 c ('98) T. Guglielmi</t>
  </si>
  <si>
    <t>WinTurtle 1.6.0 (2008) Francesco Nania</t>
  </si>
  <si>
    <t>CAB (LZX21 max) Microsoft Corporation</t>
  </si>
  <si>
    <t>WinTurtle 1.4.0 (2007) Francesco Nania</t>
  </si>
  <si>
    <t>LZSR 0.01 (2011) Francesco Nania</t>
  </si>
  <si>
    <t>RAR 2.00 (1996) -m5 -md1024 -mm -s</t>
  </si>
  <si>
    <t>RAR 2.50 (1996) -m5 -md1024 -mm -s</t>
  </si>
  <si>
    <t>BZP 0.3 (2008) Francesco Nania</t>
  </si>
  <si>
    <t>WinZip 17.0.10381 bzip2 Corel Corp.</t>
  </si>
  <si>
    <t>WinZip 17.0.10381 enh. deflate Corel Corp.</t>
  </si>
  <si>
    <t>WinZip 17.0.10381 legacy Corel Corp.</t>
  </si>
  <si>
    <t>WinZip 11.0 - 11.1 optimize best Corel Corp.</t>
  </si>
  <si>
    <t>WinZip 17.0.10381 PPMd Corel Corp.</t>
  </si>
  <si>
    <t>.PNG PNGCRUSH 1.7.67 -brute (2013) Glenn Randers-Pehrson</t>
  </si>
  <si>
    <t>.MNG PNGCRUSH 1.7.9 -loco (2013) Glenn Randers-Pehrson</t>
  </si>
  <si>
    <t>.PNG OPTIPNG HG -o7 (19.03.2012) Cosmin Truta</t>
  </si>
  <si>
    <t>.APCDOC Ashampoo Photo Commander 11, lossless</t>
  </si>
  <si>
    <t>.PNG PNGOUT /s0 (21.02.2013) Ken Silverman</t>
  </si>
  <si>
    <t>Packet 1.0 -s -r -mx6 Francesco Nania</t>
  </si>
  <si>
    <t>ORIGINAL</t>
  </si>
  <si>
    <t>DGCA</t>
  </si>
  <si>
    <t>BZIP2</t>
  </si>
  <si>
    <t>7-Zip 9.30</t>
  </si>
  <si>
    <t>RAR 4.20</t>
  </si>
  <si>
    <t>ZIP / GZ</t>
  </si>
  <si>
    <t xml:space="preserve">          get the test files here</t>
  </si>
  <si>
    <t>cmp, not linear</t>
  </si>
  <si>
    <t>solid</t>
  </si>
  <si>
    <t>option 9</t>
  </si>
  <si>
    <t>64mb, fb=273</t>
  </si>
  <si>
    <t>ZIPX</t>
  </si>
  <si>
    <t>best, auto 4 MB</t>
  </si>
  <si>
    <t>Winzip legacy</t>
  </si>
  <si>
    <t>■ canon_eos_6d_14.cr2</t>
  </si>
  <si>
    <t>■ canon_eos_m_04.cr2</t>
  </si>
  <si>
    <t>■ fujifilm_finepix_x100_11.raf</t>
  </si>
  <si>
    <t>■ fujifilm_x_e1_20.raf</t>
  </si>
  <si>
    <t>■ fujifilm_xf1_08.raf</t>
  </si>
  <si>
    <t>■ leica_m82_05.dng</t>
  </si>
  <si>
    <t>■ leica_x1_10.dng</t>
  </si>
  <si>
    <t>■ nikon_1_v2_17.nef</t>
  </si>
  <si>
    <t>■ nikon_d4_10.nef</t>
  </si>
  <si>
    <t>■ nikon_d5200_14.nef</t>
  </si>
  <si>
    <t>■ olympus_epm2_16.orf</t>
  </si>
  <si>
    <t>■ olympus_om_d_e_m5_24.orf</t>
  </si>
  <si>
    <t>■ olympus_xz2_10.orf</t>
  </si>
  <si>
    <t>■ panasonic_lumix_g5_15.rw2</t>
  </si>
  <si>
    <t>■ pentax_k5_ii_12.dng</t>
  </si>
  <si>
    <t>■ pentax_q10_19.dng</t>
  </si>
  <si>
    <t>■ samsung_nx20_01.srw</t>
  </si>
  <si>
    <t>■ samsung_nx1000_19.srw</t>
  </si>
  <si>
    <t>■ sigma_dp2.x3f</t>
  </si>
  <si>
    <t>■ sigma_sd1_merrill_13.x3f</t>
  </si>
  <si>
    <t>■ sony_a55.arw</t>
  </si>
  <si>
    <t>■ sony_a77_08.arw</t>
  </si>
  <si>
    <t>■ sony_a99_04.arw</t>
  </si>
  <si>
    <t>total size:</t>
  </si>
  <si>
    <t>decoding time:</t>
  </si>
  <si>
    <t>DNG 1.4 *</t>
  </si>
  <si>
    <t>Rawzor</t>
  </si>
  <si>
    <t>0.4.7 beta</t>
  </si>
  <si>
    <t>LIBBSC</t>
  </si>
  <si>
    <t>ZPAQ 6.41</t>
  </si>
  <si>
    <t>-m0 -e2 -b1024</t>
  </si>
  <si>
    <t>-method 4</t>
  </si>
  <si>
    <t>■ panasonic_lumix_dmc_gh3_10..</t>
  </si>
  <si>
    <t>■ canon_eos_5d_mark_iii_05..</t>
  </si>
  <si>
    <t>WinZip 17.5</t>
  </si>
  <si>
    <t>It splits input in two files: pixel data and metadata and applies delta-down and ZigZag-Encoding to improve compression (done by p.ex. ZPAQ 6.41).</t>
  </si>
  <si>
    <t>MPZ.exe (25.11.2005)</t>
  </si>
  <si>
    <t>.zlite</t>
  </si>
  <si>
    <t>ZLITE (2013) Zhang Li</t>
  </si>
  <si>
    <t>RawSpeedCmp3</t>
  </si>
  <si>
    <t>+ MCM 0.4 -9</t>
  </si>
  <si>
    <t>+ DGCA solid</t>
  </si>
  <si>
    <t>+ Precomp -cn</t>
  </si>
  <si>
    <t>+ ZPAQ method 6</t>
  </si>
  <si>
    <t>embedded</t>
  </si>
  <si>
    <t>JPEG</t>
  </si>
  <si>
    <t>amount in %</t>
  </si>
  <si>
    <t>total</t>
  </si>
  <si>
    <t>JpegSnoop → open → Tools/Image Search Fwd → Tools/Exort JPEG → 'tick' export all JPEG</t>
  </si>
  <si>
    <t>.doboz</t>
  </si>
  <si>
    <t>DOBOZ 0.1 (2011) Attila T. Áfra</t>
  </si>
  <si>
    <t>LZ4 1.4 option -9 (2013) Yann Collet</t>
  </si>
  <si>
    <t>WinRar 5.0 non-solid best 1024MB E. Roshal</t>
  </si>
  <si>
    <t>B1 Free Archiver 1.4.67 (2013) ultra</t>
  </si>
  <si>
    <t>B1 Free Archiver 1.4.67 (2013) smart</t>
  </si>
  <si>
    <t>Squeez 5.63 / SpeedCmd (32MB ultra) auto</t>
  </si>
  <si>
    <t>BWT + libdifsufsort + QLFC + CM + filter</t>
  </si>
  <si>
    <t>BSC 3.1.0 -b1024r -m0 -e2 Ilya Grebnov</t>
  </si>
  <si>
    <t>BSC 3.1.0 -b1024rsca -m0 -e2 Ilya Grebnov</t>
  </si>
  <si>
    <t>LZX + Huffman + Shannon-Fano</t>
  </si>
  <si>
    <t>LZ + Huffman + SF + BWT</t>
  </si>
  <si>
    <t>LZ + Huffman + filter</t>
  </si>
  <si>
    <t>1024 kb LZ + Huffman</t>
  </si>
  <si>
    <t>LZSS (LZ4) + Huffman</t>
  </si>
  <si>
    <t>32k LZ77 + Huffman</t>
  </si>
  <si>
    <t>LZ77 + Huffman / PPMC order-4</t>
  </si>
  <si>
    <t>CM class</t>
  </si>
  <si>
    <t>LZMA class</t>
  </si>
  <si>
    <t>LZH class</t>
  </si>
  <si>
    <t>LZSS class</t>
  </si>
  <si>
    <t>color code:</t>
  </si>
  <si>
    <t>conditional</t>
  </si>
  <si>
    <t>formatting:</t>
  </si>
  <si>
    <t>medium archive sizes have green background</t>
  </si>
  <si>
    <t>small archive sizes have green background</t>
  </si>
  <si>
    <t>big archive sizes have green background</t>
  </si>
  <si>
    <t>LZF 1.01 (2013) Lehmann &amp; Muravyov</t>
  </si>
  <si>
    <t>Germany &amp; Russia</t>
  </si>
  <si>
    <t>WinZip 18.0 ZIPX best method - Corel Corp.</t>
  </si>
  <si>
    <t>LZH + BZ2 + LZMA + LZMA2 + PPMd + WV + JPEG</t>
  </si>
  <si>
    <t>XZ 5.1.3 alpha -9 -e -T0 (2013) Lasse Collin</t>
  </si>
  <si>
    <t>.xz</t>
  </si>
  <si>
    <t>LZMA2 + filter</t>
  </si>
  <si>
    <t>.bwcm</t>
  </si>
  <si>
    <t>.cm0</t>
  </si>
  <si>
    <t>.cm0ext</t>
  </si>
  <si>
    <t>BWCM c128 (2013) Nauful</t>
  </si>
  <si>
    <t>LZP + BWT + CM</t>
  </si>
  <si>
    <t>CM0 (2013) Nauful</t>
  </si>
  <si>
    <t>CM0_EXT (2013) Nauful</t>
  </si>
  <si>
    <t>Packet 1.1 -h4 -b512 -mx Francesco Nania</t>
  </si>
  <si>
    <t>LZ77 + Fast CM</t>
  </si>
  <si>
    <t>CM1 (2013) Nauful</t>
  </si>
  <si>
    <t>.cm1</t>
  </si>
  <si>
    <t>packARC 0.7rc11 (2013) Matthias Stirner</t>
  </si>
  <si>
    <t>.mtari</t>
  </si>
  <si>
    <t>MTARI 0.2 (2013) David Werecat</t>
  </si>
  <si>
    <t>A proposal for optimal steps during archiving. As this doesn't exist right now I call it fairytale.</t>
  </si>
  <si>
    <t>* data segmentation means</t>
  </si>
  <si>
    <t>* only red colored groups</t>
  </si>
  <si>
    <t>* unicode support</t>
  </si>
  <si>
    <t>* deduplication</t>
  </si>
  <si>
    <t>* enhanced matchfinder</t>
  </si>
  <si>
    <t xml:space="preserve">   benefit from solid archiving</t>
  </si>
  <si>
    <t xml:space="preserve">   to check if input data is smaller</t>
  </si>
  <si>
    <t xml:space="preserve">   when encoded or just stored</t>
  </si>
  <si>
    <t xml:space="preserve">   (to be tested on each block of</t>
  </si>
  <si>
    <t xml:space="preserve">   each group) and apply best choice</t>
  </si>
  <si>
    <t xml:space="preserve">   such as REP / SREP</t>
  </si>
  <si>
    <t>* state-of-the-art encryption</t>
  </si>
  <si>
    <t>* state-of-the-art integrity checks</t>
  </si>
  <si>
    <t>SMAC 1.19 (2013) Jean-Marie Barone</t>
  </si>
  <si>
    <t>.zling</t>
  </si>
  <si>
    <t>order-1 ROLZ</t>
  </si>
  <si>
    <t>ZLING (2013) Zhang Li</t>
  </si>
  <si>
    <t>ZHUFF 0.8 (2011) Yann Collet</t>
  </si>
  <si>
    <t>ZHUFF 0.5 (2011) Yann Collet</t>
  </si>
  <si>
    <t>.ZHUFF</t>
  </si>
  <si>
    <t>.zhuff</t>
  </si>
  <si>
    <t>ZHUFF 0.9c (2011) Yann Collet</t>
  </si>
  <si>
    <t>Archiver 0.2 CM2 (2014) Nauful</t>
  </si>
  <si>
    <t>.parc</t>
  </si>
  <si>
    <t>SMAC 1.20 (2014) Jean-Marie Barone</t>
  </si>
  <si>
    <t>JPEGcrop (Ari Progessive) (1998-2013)</t>
  </si>
  <si>
    <t>JPEGcrop (Huff.Opt. Progessive) (1998-2013)</t>
  </si>
  <si>
    <t>.JPG (JPEG 9a; cjpeg -rgb1 -block 1 -arithmetic) 19.01.2014, lossless (input=pnm)</t>
  </si>
  <si>
    <t>.plz</t>
  </si>
  <si>
    <t>RH4 (2014) Nauful</t>
  </si>
  <si>
    <t>.rh4</t>
  </si>
  <si>
    <t>packLZH 0.5 (2014) Matthias Stirner</t>
  </si>
  <si>
    <t>.catcp</t>
  </si>
  <si>
    <t>LZMA fb=273, PPMd mem=1536</t>
  </si>
  <si>
    <t>Cat Compress 1.05 ultra (2014) Jing Tang</t>
  </si>
  <si>
    <t>WinZip 16.0 - 17.5 .ZIPX (best) Corel Corp.</t>
  </si>
  <si>
    <t>WinZip 18.5 ZIPX best method - Corel Corp.</t>
  </si>
  <si>
    <t>ZCM 0.92 -m7 -r -s (2014) Francesco Nania</t>
  </si>
  <si>
    <t>LZ77 + Filter</t>
  </si>
  <si>
    <t>.pz</t>
  </si>
  <si>
    <t>linux</t>
  </si>
  <si>
    <t>Pcompress 3.0 -l14 -s60m  Moinak Ghosh</t>
  </si>
  <si>
    <t>Pcompress 3.0 -l14 Moinak Ghosh</t>
  </si>
  <si>
    <t>.paq8pxd12</t>
  </si>
  <si>
    <t>BSC 3.1.0 -b1024pcae2 Ilya Grebnov</t>
  </si>
  <si>
    <t>EPUB</t>
  </si>
  <si>
    <t>.paq8pxd13</t>
  </si>
  <si>
    <r>
      <t>*</t>
    </r>
    <r>
      <rPr>
        <sz val="12"/>
        <color rgb="FFFF0000"/>
        <rFont val="Futura Lt BT"/>
        <family val="2"/>
      </rPr>
      <t xml:space="preserve"> ☺</t>
    </r>
    <r>
      <rPr>
        <sz val="12"/>
        <color theme="0" tint="-0.499984740745262"/>
        <rFont val="Futura Lt BT"/>
        <family val="2"/>
      </rPr>
      <t xml:space="preserve"> </t>
    </r>
    <r>
      <rPr>
        <sz val="12"/>
        <rFont val="Futura Lt BT"/>
        <family val="2"/>
      </rPr>
      <t>this symbol means that source codes for that codec is available.</t>
    </r>
  </si>
  <si>
    <t>AUDIO</t>
  </si>
  <si>
    <r>
      <t xml:space="preserve">* DNG </t>
    </r>
    <r>
      <rPr>
        <sz val="12"/>
        <color theme="1"/>
        <rFont val="Futura Lt BT"/>
        <family val="2"/>
      </rPr>
      <t>changes embedded JPEG thumbnails and therefore is not truly lossless</t>
    </r>
  </si>
  <si>
    <r>
      <t xml:space="preserve">EXIF ITPC ICC </t>
    </r>
    <r>
      <rPr>
        <sz val="8"/>
        <color theme="0" tint="-0.14999847407452621"/>
        <rFont val="Futura Lt BT"/>
        <family val="2"/>
      </rPr>
      <t>GPS</t>
    </r>
  </si>
  <si>
    <r>
      <t>EXIF</t>
    </r>
    <r>
      <rPr>
        <sz val="8"/>
        <color theme="0" tint="-0.14999847407452621"/>
        <rFont val="Futura Lt BT"/>
        <family val="2"/>
      </rPr>
      <t xml:space="preserve"> ITPC ICC GPS</t>
    </r>
  </si>
  <si>
    <t xml:space="preserve">￭ metadata in bytes see here → </t>
  </si>
  <si>
    <t>enc time in sec</t>
  </si>
  <si>
    <t>GraLIC 1.11 demo (30.07.11) A. Rhatushnyak (input=pnm)</t>
  </si>
  <si>
    <t>CoBaLP (06.09.2002) color space conv., fastest, Tilo Strutz</t>
  </si>
  <si>
    <t>CoBaLP (06.09.2002) color space conv., max. Tilo Strutz</t>
  </si>
  <si>
    <t>.JLS (color transform B-=(R+G)/2, 21.11.2001, lossless)</t>
  </si>
  <si>
    <t>.JLS (color transform R-=G, B-=G, 21.11.2001, lossless)</t>
  </si>
  <si>
    <t>Fairytale Archive Structure</t>
  </si>
  <si>
    <t>Frequently Asked Questions</t>
  </si>
  <si>
    <t>Lossless Audio Compression</t>
  </si>
  <si>
    <t>Camera Raw Compression Benchmark</t>
  </si>
  <si>
    <t>Lossless Image Compression</t>
  </si>
  <si>
    <t>Compressing Already Compressed Files</t>
  </si>
  <si>
    <t>Documents</t>
  </si>
  <si>
    <t>Image Formats (Camera Raw)</t>
  </si>
  <si>
    <t>Image Formats (web)</t>
  </si>
  <si>
    <t>Installers</t>
  </si>
  <si>
    <t>Songs (Tracker Modules)</t>
  </si>
  <si>
    <t>Songs (web)</t>
  </si>
  <si>
    <t>Videos (web)</t>
  </si>
  <si>
    <r>
      <t>Scientific Data</t>
    </r>
    <r>
      <rPr>
        <b/>
        <sz val="12"/>
        <color rgb="FFFF9900"/>
        <rFont val="Futura Lt BT"/>
        <family val="2"/>
      </rPr>
      <t xml:space="preserve"> (thanks to Martin Burtscher &amp; P. Ratanaworabhan and their paper 'High Throughput Compression of Double-Precision Floating-Point Data')</t>
    </r>
  </si>
  <si>
    <t>interactive files</t>
  </si>
  <si>
    <t>uses Deflate</t>
  </si>
  <si>
    <t>uses DCT</t>
  </si>
  <si>
    <t>uses LZW</t>
  </si>
  <si>
    <t>Compressing Text In Different Languages</t>
  </si>
  <si>
    <r>
      <t xml:space="preserve">"The time will come when diligent research over long periods will bring to light things which now lie hidden. A single lifetime, even though entirely devoted to the sky, would not be enough for the investigation of so vast a subject . . .And so this knowledge will be unfolded only through long successive ages. There will come a time when our descendants will be amazed that we did not know things that are so plain to them . . . Many discoveries are reserved for ages still to come, when memory of us will have been effaced. Our universe is a sorry little affair unless it has in it something for every age to investigate . . . Nature does not reveal her mysteries once and for all." </t>
    </r>
    <r>
      <rPr>
        <b/>
        <i/>
        <sz val="10"/>
        <rFont val="Futura Lt BT"/>
        <family val="2"/>
      </rPr>
      <t>Seneca, Naturales Questiones, 100 A.C.</t>
    </r>
  </si>
  <si>
    <t>.xe</t>
  </si>
  <si>
    <t>libdivsufsort + LZSS</t>
  </si>
  <si>
    <t>ICT Universal Coder 2.1 (1999)</t>
  </si>
  <si>
    <t>COMPROX 0.11.0 -b200 -F -f Zhang Li</t>
  </si>
  <si>
    <t>PAQ 1/KGB Archiver (2002) Matt Mahoney</t>
  </si>
  <si>
    <t>CTXf 0.69 (Superb) -me -b Nikita Lesnikov</t>
  </si>
  <si>
    <t>Stuffit 9.0 - 9.5/10 arsenic Allume Corp.</t>
  </si>
  <si>
    <t>PIM 2.01 (PPMd) (2007) Ilya Muravyov</t>
  </si>
  <si>
    <t>BWTZIP 1.0 (2003) Stephan T. Lavavej</t>
  </si>
  <si>
    <t>XTREME 1.06 -m0 -s -t8 (1999) B. Sabin</t>
  </si>
  <si>
    <t>COMPROX 0.2.0 opt.9 (2011) Zhang Li</t>
  </si>
  <si>
    <t>WinHKI 1.79 hki1 (2004-2006) H.P. Imp</t>
  </si>
  <si>
    <t>UC II r3 Pro (1995) stst Nico De Vries</t>
  </si>
  <si>
    <t>KZIP /s0 /b1024 /rn (2006) Ken Silverman</t>
  </si>
  <si>
    <t>GZIP 1.3.12 -9 (2007) Jean-Loup Gailly</t>
  </si>
  <si>
    <t>AMG 2.2 max (1993) Milen Georgiev</t>
  </si>
  <si>
    <t>ZET 0.10 β -eh  (1994) Oleg V. Zaimkin</t>
  </si>
  <si>
    <t>PIGZ 2.1.6 -9 (2010) J.L. Gailly &amp; M. Adler</t>
  </si>
  <si>
    <t>BestCrypt Archiver 1.03 - 1.08.3 (2005)</t>
  </si>
  <si>
    <t>ARJZ 0.15 -mp9 -md26624 -mf16382 Bulat Ziganshin</t>
  </si>
  <si>
    <t>CAN Manager (2002) DarkFire Productions</t>
  </si>
  <si>
    <t>PKZIP 1.10 Implode max -ei (1990) Phil Katz</t>
  </si>
  <si>
    <t>aPackage 1.14 (2002) Jørgen Ibsen</t>
  </si>
  <si>
    <t>6PACK -2 (2007) ARIya Hidayat</t>
  </si>
  <si>
    <t>File2Pack™ 2.0.0 ('05) Mental9 Productions</t>
  </si>
  <si>
    <t>LZDS 2.0 (1999) -m5 -s1024 D.Subbotin</t>
  </si>
  <si>
    <t>BIX 1.00 β7 -s -m1 -mdg (1999) Igor Pavlov</t>
  </si>
  <si>
    <t>BioArchiver 1.9 hyper automatic Merlin+ Ltd</t>
  </si>
  <si>
    <t>YBS 0.03f -m16m (2002) Vadim Yoockin</t>
  </si>
  <si>
    <t>Squeez 4.20.440 (2003) 4MB max + filter</t>
  </si>
  <si>
    <t>PPMonstr ver G -o16 -m256 Dmitry Shkarin</t>
  </si>
  <si>
    <t>WinZip 12.0.8252 optimize best Corel Corp.</t>
  </si>
  <si>
    <t>PPMVC 1.2 -o8 -m256 Przemyslaw Skibinski</t>
  </si>
  <si>
    <t>WinAce 2.5 - 2.69 max solid Marcel Lemke</t>
  </si>
  <si>
    <t>BSSC 0.95α -b16383as Sergeo Sizikov</t>
  </si>
  <si>
    <t>WinRar 5.11 solid best 1GB Eugene Roshal</t>
  </si>
  <si>
    <t>M03 1.1 blocksize 1GB M. A. Maniscalco</t>
  </si>
  <si>
    <t>PeaZip 3.3 .7z ultra Giorgio Tani</t>
  </si>
  <si>
    <t>BEE 0.7.9 -m3 -d9 A. Filinsky &amp; M. Caruso</t>
  </si>
  <si>
    <t>Blizzard 0.24 30m ('08) Christian Martelock</t>
  </si>
  <si>
    <t>CTXf 0.75 pre-b1 -me -b Nikita Lesnikov</t>
  </si>
  <si>
    <t>Blizzard 0.24 300m ('08) Christian Martelock</t>
  </si>
  <si>
    <t>BSC 3.1.0 -b1024rsca -m0 -H28 -M255 Ilya Grebnov</t>
  </si>
  <si>
    <t>MComp 2.00 -mf3x 600m Malcolm Taylor</t>
  </si>
  <si>
    <t>UHARC 0.6b -m3 -mm+ -md+ 32 MB Uwe Herklotz</t>
  </si>
  <si>
    <t>PPMonstr ver J -o16 -m1600 Dmitry Shkarin</t>
  </si>
  <si>
    <t>UHARC 0.4 -mx/-m3 -mm+ U. Herklotz</t>
  </si>
  <si>
    <t>LZA 0.10 -m5x -b7 -h7 -s Francesco Nania</t>
  </si>
  <si>
    <t>FreeHook 0.2 c 912-2-1-6 Francesco Nania</t>
  </si>
  <si>
    <t>SR3 (2007) M. Mahoney &amp; Francesco Nania</t>
  </si>
  <si>
    <t>FPAQ 0pv5 M. Mahoney &amp; Francesco Nania</t>
  </si>
  <si>
    <t>RINGS 1.6 opt. 10 ('08) Francesco Nania</t>
  </si>
  <si>
    <t>WinRK 2.1.6 (ROLZ-1 768MB) Malcolm Taylor</t>
  </si>
  <si>
    <t>PPMd Jr1 sh8 -o16 -m1600 -c Eugene Shelwien</t>
  </si>
  <si>
    <t>FPAQ 0pv4b M. Mahoney &amp; Eugene Shelwien</t>
  </si>
  <si>
    <t>FPAQa (2007) M. Mahoney &amp; Jarek Duda</t>
  </si>
  <si>
    <t>•</t>
  </si>
  <si>
    <t>v</t>
  </si>
  <si>
    <t>LCSSR 0.2 -b7 -l9 (2007) Frank Schwellinger</t>
  </si>
  <si>
    <t>ACB 2.00c MAX (1997) George Buyanovsky</t>
  </si>
  <si>
    <t>SCM 0.01 -p1 (2011) Sebastian Lehmann</t>
  </si>
  <si>
    <t>RK 1.04.1a  -ts -T16384 -mx3 -M256 -sa -mwx -B12800 Malcolm Taylor</t>
  </si>
  <si>
    <t>SLIM 0.23d -o16 -m800 Serge Voskoboynikov</t>
  </si>
  <si>
    <t>.paq8pxd15</t>
  </si>
  <si>
    <t>worldwide</t>
  </si>
  <si>
    <t>LZMA2:128, PPMd:1024 o14, delta:3/delta:4</t>
  </si>
  <si>
    <t>‣ 34,9% of this testset are .JPEG images</t>
  </si>
  <si>
    <t>‣   0,5% of this testset are .PNG images</t>
  </si>
  <si>
    <t>‣ 12,6% of this testset are .PNG images</t>
  </si>
  <si>
    <t>‣ 74,9% of this testset are .PPM images</t>
  </si>
  <si>
    <t>‣ 25,1% of this testset are .PGM images</t>
  </si>
  <si>
    <t>‣ 25,0% of this testset are InnoSetup/Nullsoft installers</t>
  </si>
  <si>
    <t>‣ 25,0% of this testset are InstallShield installers</t>
  </si>
  <si>
    <t>‣ 25,0% of this testset are MSI / Windows Installer</t>
  </si>
  <si>
    <t>‣ 25,0% of this testset are WISE Installer/GZIP/ZIP SFX setups</t>
  </si>
  <si>
    <t>an open testset that includes 12 .WAV files (16-bit stereo) licensed under creative commons license.</t>
  </si>
  <si>
    <t>-8</t>
  </si>
  <si>
    <t>Best BPB value</t>
  </si>
  <si>
    <t>perhaps    Altaic</t>
  </si>
  <si>
    <t>.paq8pxd16</t>
  </si>
  <si>
    <t>OS</t>
  </si>
  <si>
    <t>LZA 1.01 max (1999) Abimbola Olowofoyeku</t>
  </si>
  <si>
    <t>CSC 3.2 final -m3 -d512 (18.08.2011) Siyuan Fu</t>
  </si>
  <si>
    <t>.PGF / libPGF 6.14.12 (2001-2014) (lossless) (input=bmp)</t>
  </si>
  <si>
    <t>FP8_v3 -8 (2012) Jan Ondrus</t>
  </si>
  <si>
    <t>Pyramid Workshop 0.01 (cbtpc.exe -q 100) (13.08.'06) N. Fröhling</t>
  </si>
  <si>
    <t>UHIC 2.0 (27.12.1999) e Uwe Herklotz (input=bmp)</t>
  </si>
  <si>
    <t>UHIC 2.0 (27.12.1999) m Uwe Herklotz (input=bmp)</t>
  </si>
  <si>
    <t>RKIM 1.06 (08.01.2000) cx Malcolm Taylor (input=tga)</t>
  </si>
  <si>
    <t>NK 2beta (17.01.2010) Tomsk State University (input=bmp)</t>
  </si>
  <si>
    <t>BIM 0.03 (13.09.2013) Ilya Muravyov (input=pnm)</t>
  </si>
  <si>
    <t>NK (26.11.1999) Tomsk State University (input=bmp)</t>
  </si>
  <si>
    <t>RKIM 1.06 (08.01.2000) c Malcolm Taylor (input=tga)</t>
  </si>
  <si>
    <t>BIM 0.02 (05.02.2013) Ilya Muravyov (input=pnm)</t>
  </si>
  <si>
    <t>BIM 0.01 (13.01.2013) Ilya Muravyov  (input=pnm)</t>
  </si>
  <si>
    <t>PhotoJazz 2.0 (18.08.2000, BitJazz Company)</t>
  </si>
  <si>
    <t>PackPNM 1.6c (12.01.2014) Matthias Stirner (input=ppm)</t>
  </si>
  <si>
    <t>VcgCreator 1.1 (2001) L. Vinoth Kumar (input=bmp)</t>
  </si>
  <si>
    <t>WEBP 0.13 exp. lossless (png2webpll.exe, 18.11.2011) -c 0</t>
  </si>
  <si>
    <t>IMPLODE (EPIC 24 v0.1b) (25.3.2004) Kevin Peirce (input=bmp)</t>
  </si>
  <si>
    <t>IMPLODE (EPIC24 0.1b) (25.3.2004) Kevin Peirce (input=bmp)</t>
  </si>
  <si>
    <t>BTPC 5 (EPIC 24 v0.1b) (2003) (input=bmp) John Robinson</t>
  </si>
  <si>
    <t>Libra8 1.0.0.1 (21.07.07) -3 Andrew Polar</t>
  </si>
  <si>
    <t>ImageZero 0.1 (23.03.2012) Christoph Feck</t>
  </si>
  <si>
    <t>LuraWave Format (lossless) (XnView 1.99.6)</t>
  </si>
  <si>
    <t>CHP 1.0 Build 0012 (2000) Shinji Chiba</t>
  </si>
  <si>
    <t>OpenEXR 1.20-1.40 Format (PIZ Mode) Industrial Light &amp; Magic</t>
  </si>
  <si>
    <t>Paintshop Pro Image (LZ77) (Corel Corporation)</t>
  </si>
  <si>
    <t>Piecewise Constant Image Model (20.11.1999) Paul Ausbeck</t>
  </si>
  <si>
    <t>RAWZOR 0.47 (lossless) Sachin Garg 2010</t>
  </si>
  <si>
    <t>WhyPic 1.2 (05.12.1998) Osamu Yamaji</t>
  </si>
  <si>
    <t>PackPNM 1.6c (12.01.2014) Matthias Stirner</t>
  </si>
  <si>
    <t>WhyPic 1.2 -9 (05.12.1998) Osamu Yamaji (input=bmp)</t>
  </si>
  <si>
    <t>BTPC 5 (EPIC 24 v0.1b) (2003) (input=bmp)John Robinson</t>
  </si>
  <si>
    <t>ZCM 0.88 -m7 -r -s (2013) Francesco Nania (input=pnm)</t>
  </si>
  <si>
    <t>Flashzip 0.99d1b -m9 -b7 -s (2009) Francesco Nania</t>
  </si>
  <si>
    <t>Felics 1.1.1.1 Ian H. Witten, Alistair Moffat &amp; Timothy C. Bell</t>
  </si>
  <si>
    <t>WinZip 16.5.10095 (ZIPX) best method Corel Corporation</t>
  </si>
  <si>
    <t>BIM Lossless Image Compressor 0.01 (13.01.2013) Ilya Muravyov</t>
  </si>
  <si>
    <t>ImageZero (23.03.2012) Christoph Feck</t>
  </si>
  <si>
    <t>PhotoJazz (18.08.2000, BitJazz Company)</t>
  </si>
  <si>
    <t>RAWZOR 0.47 (lossless) Sachin Garg 2010 (.RAF as source)</t>
  </si>
  <si>
    <t>QLIC 1.demo (2013) Alexander Rhatushnyak</t>
  </si>
  <si>
    <t>Electron Microscope • blood cells</t>
  </si>
  <si>
    <t>MPEG-4 ALS RM23 -7 -a (29.01.2011) Tilman Liebchen et al.</t>
  </si>
  <si>
    <t>TSIPcoder incl. CoBaLP2 (24.02.2014) -sT Tilo Strutz</t>
  </si>
  <si>
    <t>CCMx 1.30a (24.04.08) Christian Martelock</t>
  </si>
  <si>
    <t>LZHAM α7r1 -m4 -d29 -t7 -e -x Rich Geldreich, Jr.</t>
  </si>
  <si>
    <t>MCM 0.3 -9 (2013) Mathieu Chartier</t>
  </si>
  <si>
    <t>UHARC 0.6b -mm+ -mx 32MB Uwe Herklotz</t>
  </si>
  <si>
    <t>WinAce 2.69 (4MB dict + delta) Marcel Lemke</t>
  </si>
  <si>
    <t>PackJPG 2.5f (26.12.2013) Matthias Stirner</t>
  </si>
  <si>
    <t>PackJPG 2.4 (20.04.2010) Matthias Stirner</t>
  </si>
  <si>
    <t>reJPEG 0.1 (2011) P. Skibinski &amp; Matthias Stirner</t>
  </si>
  <si>
    <t>PackJPG 1.9 (20.04.2007) Matthias Stirner</t>
  </si>
  <si>
    <t>BetterJPEG 2.0.0.9 (BetterJPEG team)</t>
  </si>
  <si>
    <t>HexZip 1.0 (M. Isenburg &amp; P. Lindstrom) + ZLIB</t>
  </si>
  <si>
    <t>HexZip 1.0 (M. Isenburg &amp; P. Lindstrom)</t>
  </si>
  <si>
    <t>WinZip 16.0 - 19.0 (ZIPX) best method Corel Corp.</t>
  </si>
  <si>
    <t>WinRar 4.20 (best, auto 4MB + delta) Eugene Roshal</t>
  </si>
  <si>
    <t>LZC 0.07 (c 10) Francesco Nania</t>
  </si>
  <si>
    <t>.rh5</t>
  </si>
  <si>
    <t>RH5 -window:27 -hash:17 c6 ('14) Nauful</t>
  </si>
  <si>
    <t>ROLZ + Huffman + filter</t>
  </si>
  <si>
    <t xml:space="preserve">.JPG (JPEG XT 1.00beta2.2 2014 11, jpeg.org) -ls 0 -c </t>
  </si>
  <si>
    <t>.JPG (LIBJPEG 8d, 2012 09, Thomas Richter) -ls 0 -c</t>
  </si>
  <si>
    <t xml:space="preserve">.JPG (JPEG XT 1.00beta2.2 2014 11, jpeg.org) -l -c -q 100 </t>
  </si>
  <si>
    <t>LZA 0.70b -mx9 -b7 -h7 -s -r Francesco Nania</t>
  </si>
  <si>
    <t>ZPAQ 6.56c -method 57 Matt Mahoney</t>
  </si>
  <si>
    <t>Onda Lossless Audio 3.2-3.5 (java -jar onda.jar) (16.06.2013)</t>
  </si>
  <si>
    <t>RatHole 3.1.0 (03.12.2005) 32-bit, Edge Sounds Ltd.</t>
  </si>
  <si>
    <t>BPG 0.9.3 (14.12.2014) -lossless -m 9 Fabrice Bellard</t>
  </si>
  <si>
    <t>sfZip 1.0 (2002) Antonio Esteves</t>
  </si>
  <si>
    <t xml:space="preserve">sfArk 2.15 maximum (2001), Andy Inman </t>
  </si>
  <si>
    <t>sfPack 1.0.0.4 maximum (1999), Megota Software</t>
  </si>
  <si>
    <t>.NKM Kontakt2 Soundbank</t>
  </si>
  <si>
    <t>.XRNI Renoise 2.8.0 Instrument (uses FLAC)</t>
  </si>
  <si>
    <t>http://sonimusicae.free.fr/Banques/SoniMusicae-Diato-sf2.zip</t>
  </si>
  <si>
    <t>.FXP Halion Sample Format</t>
  </si>
  <si>
    <t>SF2 SoundFont (90 samples, stereo, 44100Hz, 16bit)</t>
  </si>
  <si>
    <t>RatHole 3.1.0 (auto) (2005) EdgeSounds LLC</t>
  </si>
  <si>
    <t>DGCA 1.00 - 1.10e (2006) Shin-ichi Tsuruta</t>
  </si>
  <si>
    <t>BSC 3.1.0 -b1024rcf -m0 -H28 Ilya Grebnov</t>
  </si>
  <si>
    <t>NanoZip 0.09α (2011) -cc -m2g Sami Runsas</t>
  </si>
  <si>
    <t>CCMx 1.30c (24.04.2008) Christian Martelock</t>
  </si>
  <si>
    <t>Hamster Free Zip Archiver 3.0.0.85 max</t>
  </si>
  <si>
    <t>7-ZIP 9.3.8 no compression Igor Pavlov</t>
  </si>
  <si>
    <t>ZSTD 0.0.1 (2015) Yann Collet</t>
  </si>
  <si>
    <t>LZ77 + FSE</t>
  </si>
  <si>
    <t>LZA 0.81 -mx9 -b7 -h9 -s -r Francesco Nania</t>
  </si>
  <si>
    <t xml:space="preserve">LZHAM 1.0 -m4 -d29 -e (7z) R. Geldreich, Jr. </t>
  </si>
  <si>
    <t>Fast CM + LZP</t>
  </si>
  <si>
    <t>.csc</t>
  </si>
  <si>
    <t>CSC 3.0 -9 Siyuan Fu</t>
  </si>
  <si>
    <t>Data-Shrinker (2012) Siyuan Fu</t>
  </si>
  <si>
    <t>.mxm</t>
  </si>
  <si>
    <t>7-ZIP 9.3.8 LZMA2 + delta Igor Pavlov</t>
  </si>
  <si>
    <t>7-ZIP 9.3.8 LZMA2 + no delta Igor Pavlov</t>
  </si>
  <si>
    <t>LZMA2:128, BCJ2, delta:3/delta:4</t>
  </si>
  <si>
    <t>LZMA2:128, BCJ2</t>
  </si>
  <si>
    <t>LZHAM 1.0 α7r1 -m4 -d29 -e -x R. Geldreich, Jr.</t>
  </si>
  <si>
    <t>LZHAM 1.1 -m4 -d29 -e -o -x8 R. Geldreich, Jr.</t>
  </si>
  <si>
    <t>XZ 5.2.0 -9 -e -T0 (2015) Lasse Collin</t>
  </si>
  <si>
    <t>Radyx 0.91 -ma=2 -md=1g -mds=64k -mfb=254 -mx9 -r Conor McCarthy</t>
  </si>
  <si>
    <t>Pcompress 3.1 -l14 -s60m  Moinak Ghosh</t>
  </si>
  <si>
    <t>BALZ 1.20 mode cx (2015) Ilya Muravyov</t>
  </si>
  <si>
    <t>.csa</t>
  </si>
  <si>
    <t>CsArc 3.3 -m5 -d512 -t4 -r Siyuan Fu</t>
  </si>
  <si>
    <t>-9 -max</t>
  </si>
  <si>
    <t>CMIX 1</t>
  </si>
  <si>
    <t>-c</t>
  </si>
  <si>
    <t>7-ZIP 9.3.8 ultra128:fb273:bt4:lc4</t>
  </si>
  <si>
    <t>-x9</t>
  </si>
  <si>
    <t>The documents used for this text compression benchmark were taken from the Unbound Bible Project. I used the same text in different languages to see which language compresses best.</t>
  </si>
  <si>
    <t>MCM 0.8 -9 (2015) Mathieu Chartier</t>
  </si>
  <si>
    <t>MCM 0.81 -9 (2015) Mathieu Chartier</t>
  </si>
  <si>
    <t>MCM 0.82 -9 -max (2015) Mathieu Chartier</t>
  </si>
  <si>
    <t>MCM 0.83 -x11 (2015) Mathieu Chartier</t>
  </si>
  <si>
    <t>MCM 0.83 -x9 (2015) Mathieu Chartier</t>
  </si>
  <si>
    <t>NanoZip 0.09 -co -m2g (2011) Sami Runsas</t>
  </si>
  <si>
    <t>PAQ9a -9 (2007) Matt Mahoney et al.</t>
  </si>
  <si>
    <t>UDA 0.302 (2015) Dwing + comp1</t>
  </si>
  <si>
    <t>JAR</t>
  </si>
  <si>
    <t>PreComp 0.4.3 -cn Christian Schneider</t>
  </si>
  <si>
    <t>ZPAQ 7.05 -method 53 (2015) Matt Mahoney</t>
  </si>
  <si>
    <t>AntiZ 0.10a (2015) Diazonium</t>
  </si>
  <si>
    <t>PreComp 0.4.3 + 7-Zip (lzma2, 128MB ultra fb273, lc4)</t>
  </si>
  <si>
    <t>AntiZ 0.10a + 7-Zip (lzma2, 128MB ultra fb273, lc4)</t>
  </si>
  <si>
    <t>7-Zip 15.0.2 (lzma2, 128MB ultra) Igor Pavlov</t>
  </si>
  <si>
    <t>MS Office Spreadsheet</t>
  </si>
  <si>
    <t>PDF [v1.3, 58 pages, contains JPEG]</t>
  </si>
  <si>
    <t>LZSS/mscompess</t>
  </si>
  <si>
    <t>ZPAQ 7.05 -method 53 ('15) Matt Mahoney</t>
  </si>
  <si>
    <t>RINGS 2.1 -s -r -m7 (2015) Francesco Nania</t>
  </si>
  <si>
    <t>QLFC</t>
  </si>
  <si>
    <t>.qad</t>
  </si>
  <si>
    <t>RINGS 2.2 -s -r -m7 (2015) Francesco Nania</t>
  </si>
  <si>
    <t>AntiZ 0.10a hx mod2 (2015) Diazonium + Jan Ondrus</t>
  </si>
  <si>
    <t>AntiZ 0.10a hx mod2 + 7-Zip (lzma2, 128MB ultra fb273, lc4)</t>
  </si>
  <si>
    <t>QAD 1.12 (2015) Petr Kucera</t>
  </si>
  <si>
    <t>RINGS 2.5 -s -r -m8 (2015) Francesco Nania</t>
  </si>
  <si>
    <t>Packet 1.2 -h5 -b512 -mx Francesco Nania</t>
  </si>
  <si>
    <t>.croz</t>
  </si>
  <si>
    <t>.rox</t>
  </si>
  <si>
    <t>LZMA SDK 9.2 + LZMAREC Eugene Shelwien</t>
  </si>
  <si>
    <t>.bro</t>
  </si>
  <si>
    <t>Density 0.12.5 -c -3 (2015) Guillaume Voirin</t>
  </si>
  <si>
    <t>.density</t>
  </si>
  <si>
    <t>?</t>
  </si>
  <si>
    <t>.sreep</t>
  </si>
  <si>
    <t>WEBP 0.4.3 -lossless -m 6 (11.03.2015) (input=png)</t>
  </si>
  <si>
    <t>WEBP 0.2.0 -lossless -m 6 (16.08.2012) (input=png)</t>
  </si>
  <si>
    <t>WEBP 0.3.1 -lossless -m 6 (17.06.2013) (input=png)</t>
  </si>
  <si>
    <t>WEBP 0.4.0 -lossless -m 6 (20.12.2013) (input=png)</t>
  </si>
  <si>
    <t>BPG 0.9.6 (20.09.2015) -lossless -m 9 Fabrice Bellard</t>
  </si>
  <si>
    <t>STUFFIT API 2.0.672.3563 --bit-perfect --comp-spec=2,25,2,1,+</t>
  </si>
  <si>
    <t>Pcompress 3.2 -l14 -s60m  Moinak Ghosh</t>
  </si>
  <si>
    <t>linux64</t>
  </si>
  <si>
    <t>UDA-MAX 0.303 (2015) Dwing + comp1</t>
  </si>
  <si>
    <t>China &amp; USA</t>
  </si>
  <si>
    <t xml:space="preserve">.JPG (JPEG XT 1.31 2015 06, jpeg.org) -ls 0 -c </t>
  </si>
  <si>
    <t>.JPG (JPEG XT 1.31 2015 06, jpeg.org) -l -c -q 100 -a</t>
  </si>
  <si>
    <t>JPEG-XR 1.41 (2012) Quality 100</t>
  </si>
  <si>
    <t>.JXR JPEG-XR 1.41 (2012) Quality 100</t>
  </si>
  <si>
    <t>table 2 of 3</t>
  </si>
  <si>
    <t>table 3 of 3</t>
  </si>
  <si>
    <t>table 1 of 3</t>
  </si>
  <si>
    <t>￭ Grayscale, 8 bit in .PGM format</t>
  </si>
  <si>
    <t>test data license: public domain</t>
  </si>
  <si>
    <t>ARTIFICIAL</t>
  </si>
  <si>
    <t>SCANNED</t>
  </si>
  <si>
    <t>PAINTING</t>
  </si>
  <si>
    <t>Acryl Landscape</t>
  </si>
  <si>
    <t>ARTIFICIAL2</t>
  </si>
  <si>
    <t>MAP</t>
  </si>
  <si>
    <t xml:space="preserve"> test data license: public domain, Creative Commons 2.5</t>
  </si>
  <si>
    <t>Internet Map 1024, Alpha Channel</t>
  </si>
  <si>
    <t>sick certificate</t>
  </si>
  <si>
    <t>computed flame, Alpha Channel</t>
  </si>
  <si>
    <t>computed fractal, Alpha Channel</t>
  </si>
  <si>
    <t>.PSD PhotoShop Document</t>
  </si>
  <si>
    <t>.PNG Format (LZ77) (XnViewMP 0.75)</t>
  </si>
  <si>
    <t>ZPAQ 6.36 -method bmp_j4 (2013) M. Mahoney (input=bmp)</t>
  </si>
  <si>
    <t>.PNG PNGSLIM option 2, 3 and 7 (30.09.2015) Cédric Louvrier</t>
  </si>
  <si>
    <t>dcraw -E -4</t>
  </si>
  <si>
    <t>RGGB</t>
  </si>
  <si>
    <t>(RGGB)</t>
  </si>
  <si>
    <t>(Sigma=PPM)</t>
  </si>
  <si>
    <r>
      <rPr>
        <b/>
        <sz val="12"/>
        <color theme="1"/>
        <rFont val="Futura Lt BT"/>
        <family val="2"/>
      </rPr>
      <t>RawSpeedCmp</t>
    </r>
    <r>
      <rPr>
        <sz val="12"/>
        <color theme="1"/>
        <rFont val="Futura Lt BT"/>
        <family val="2"/>
      </rPr>
      <t xml:space="preserve"> (RawSpeedCompress2) is created by Klaus Post (idea: Dave Coffin). It cannot restore input at present.</t>
    </r>
  </si>
  <si>
    <r>
      <t xml:space="preserve">FLIF </t>
    </r>
    <r>
      <rPr>
        <sz val="12"/>
        <color theme="1"/>
        <rFont val="Futura Lt BT"/>
        <family val="2"/>
      </rPr>
      <t>does not contain embedded JPEG thumbnails - JPEG of table 2 are added to each FLIF result for better comparison</t>
    </r>
  </si>
  <si>
    <t>thumbnail 1</t>
  </si>
  <si>
    <t>thumbnail 3</t>
  </si>
  <si>
    <t>thumbnail 2</t>
  </si>
  <si>
    <t>thumbnail 4</t>
  </si>
  <si>
    <t>thumbnail 5</t>
  </si>
  <si>
    <t>QLIC 2.demo (2015 10 25) Alexander Rhatushnyak</t>
  </si>
  <si>
    <t>TSIPcoder 1.36e LOCO (27.10.2015) Tilo Strutz</t>
  </si>
  <si>
    <t>TSIPcoder 1.36e LOCO_T4 (27.10.2015) Tilo Strutz</t>
  </si>
  <si>
    <t>TSIPcoder 1.36e HXC -HXCauto 1 (27.10.2015) Tilo Strutz</t>
  </si>
  <si>
    <t>TSIPcoder 1.36e HXC2 -HXC2auto 1 (27.10.2015) Tilo Strutz</t>
  </si>
  <si>
    <t>DCRAW -E -4</t>
  </si>
  <si>
    <t>■ canon_eos_6d_14.pgm</t>
  </si>
  <si>
    <t>■ canon_eos_m_04.pgm</t>
  </si>
  <si>
    <t>■ fujifilm_finepix_x100_11.pgm</t>
  </si>
  <si>
    <t>■ fujifilm_xf1_08.pgm</t>
  </si>
  <si>
    <t>■ leica_m82_05.pgm</t>
  </si>
  <si>
    <t>■ leica_x1_10.pgm</t>
  </si>
  <si>
    <t>■ nikon_1_v2_17.pgm</t>
  </si>
  <si>
    <t>■ nikon_d4_10.pgm</t>
  </si>
  <si>
    <t>■ nikon_d5200_14.pgm</t>
  </si>
  <si>
    <t>■ olympus_epm2_16.pgm</t>
  </si>
  <si>
    <t>■ olympus_om_d_e_m5_24.pgm</t>
  </si>
  <si>
    <t>■ olympus_xz2_10.pgm</t>
  </si>
  <si>
    <t>■ panasonic_lumix_g5_15.pgm</t>
  </si>
  <si>
    <t>■ pentax_k5_ii_12.pgm</t>
  </si>
  <si>
    <t>■ pentax_q10_19.pgm</t>
  </si>
  <si>
    <t>■ samsung_nx20_01.pgm</t>
  </si>
  <si>
    <t>■ samsung_nx1000_19.pgm</t>
  </si>
  <si>
    <t>■ sony_a55.pgm</t>
  </si>
  <si>
    <t>■ sony_a77_08.pgm</t>
  </si>
  <si>
    <t>■ sony_a99_04.pgm</t>
  </si>
  <si>
    <t>Bayer CFA</t>
  </si>
  <si>
    <t>CFALCS</t>
  </si>
  <si>
    <t>OpenJPEG</t>
  </si>
  <si>
    <r>
      <t>■ sigma_dp2.</t>
    </r>
    <r>
      <rPr>
        <sz val="11"/>
        <color rgb="FFFF0000"/>
        <rFont val="Futura Lt BT"/>
        <family val="2"/>
      </rPr>
      <t>ppm</t>
    </r>
  </si>
  <si>
    <r>
      <t>■ sigma_sd1_merrill_13.</t>
    </r>
    <r>
      <rPr>
        <sz val="11"/>
        <color rgb="FFFF0000"/>
        <rFont val="Futura Lt BT"/>
        <family val="2"/>
      </rPr>
      <t>ppm</t>
    </r>
  </si>
  <si>
    <t>lc=8 lp=0 pb=0</t>
  </si>
  <si>
    <t>no thumbnails</t>
  </si>
  <si>
    <t>7-Zip 15.09</t>
  </si>
  <si>
    <t>+7-Zip 15.09</t>
  </si>
  <si>
    <t>+MCM 0.83</t>
  </si>
  <si>
    <t>encoding time in sec:</t>
  </si>
  <si>
    <t>2.1.0</t>
  </si>
  <si>
    <t>JPEG-XR</t>
  </si>
  <si>
    <t>PNG</t>
  </si>
  <si>
    <t>FLIF 0.1</t>
  </si>
  <si>
    <t>TIFF</t>
  </si>
  <si>
    <t>deflate</t>
  </si>
  <si>
    <t>level 9</t>
  </si>
  <si>
    <t>interlaced</t>
  </si>
  <si>
    <t>JPEG2000</t>
  </si>
  <si>
    <t>DNG 1.4</t>
  </si>
  <si>
    <t>link to artist</t>
  </si>
  <si>
    <t>blue filesizes mean that the compressor could not compress here, so MCM/DGCA/ZPAQ-compressed filesize was used (RawSpeedCmp2) / original filesize was used (Rawzor).</t>
  </si>
  <si>
    <t>blue filesizes mean that the compressor could not compress here, so uncompressed filesize of PGM was used</t>
  </si>
  <si>
    <t>TSIPcoder 1.36e CoBaLP2 -sT 0 (27.10.2015) Tilo Strutz</t>
  </si>
  <si>
    <t>TSIPcoder 1.36e TSIP -pred ADAPT -postBWT HXC3 (27.10.2015) Tilo Strutz</t>
  </si>
  <si>
    <t>TSIPcoder 1.36e BPC -pred ADAPT (27.10.2015) Tilo Strutz</t>
  </si>
  <si>
    <t>TSIPcoder 1.36e TSIP -pred ADAPT (27.10.2015) Tilo Strutz</t>
  </si>
  <si>
    <t>GCIF 1.1 (05.10.2013) Chris A. Taylor</t>
  </si>
  <si>
    <t>WinZip 16.0 - 20.0 legacy Deflate Corel Corp.</t>
  </si>
  <si>
    <t>ZSTD 0.3.0 -20 (2015) Yann Collet</t>
  </si>
  <si>
    <t>.zst</t>
  </si>
  <si>
    <t>FLIF 0.1.3 (2015 11 05) Jon Sneyers &amp; Pieter Wuille</t>
  </si>
  <si>
    <t>FLIF 0.1.1 (2015 10 23) -na Jon Sneyers &amp; Pieter Wuille</t>
  </si>
  <si>
    <t>FLIF 0.1.1 (2015 10 23) Jon Sneyers &amp; Pieter Wuille</t>
  </si>
  <si>
    <t>FLIF 0.1 (2015 10 03) -n Jon Sneyers &amp; Pieter Wuille</t>
  </si>
  <si>
    <t>FLIF 0.1 (2015 10 03) Jon Sneyers &amp; Pieter Wuille</t>
  </si>
  <si>
    <t>FLIF 0.1.3 (2015 11 05) -n Jon Sneyers &amp; Pieter Wuille</t>
  </si>
  <si>
    <t>FLIF 0.1.3 (2015 11 05) -na Jon Sneyers &amp; Pieter Wuille</t>
  </si>
  <si>
    <t>BMF 2.01 (24.05.2010) -S Dmitry Shkarin (input=bmp)</t>
  </si>
  <si>
    <t>BMF 2.01 (24.05.2010) no switches Dmitry Shkarin (input=bmp)</t>
  </si>
  <si>
    <t>BMF 2.01 (24.05.2010) -S Dmitry Shkarin</t>
  </si>
  <si>
    <t>APT 1.0 (25.3.2004) (input=pnm) John Robinson</t>
  </si>
  <si>
    <t>APT 1.0 (25.3.2004) (input=bmp) John Robinson</t>
  </si>
  <si>
    <t>FLIF 0.1.1 (2015 10 23) -nb Jon Sneyers &amp; Pieter Wuille</t>
  </si>
  <si>
    <t>FLIF 0.1.5</t>
  </si>
  <si>
    <t>-n</t>
  </si>
  <si>
    <t>-Rn</t>
  </si>
  <si>
    <t>FLIF 0.1.5 (2015 11 13) -na Jon Sneyers &amp; Pieter Wuille</t>
  </si>
  <si>
    <t>FLIF 0.1.5 (2015 11 13) Jon Sneyers &amp; Pieter Wuille</t>
  </si>
  <si>
    <t>FLIF 0.1 (2015 10 03) Jon Sneyers &amp; Pieter Wuille (input=pnm)</t>
  </si>
  <si>
    <t>FLIF 0.1.3 (2015 11 05) Jon Sneyers &amp; Pieter Wuille (input=pnm)</t>
  </si>
  <si>
    <t>FLIF 0.1 (2015 10 03) -na Jon Sneyers &amp; Pieter Wuille (input=pnm)</t>
  </si>
  <si>
    <t>FLIF 0.1.3 (2015 11 05) -na Jon Sneyers &amp; Pieter Wuille (input=pnm)</t>
  </si>
  <si>
    <t>FLIF 0.1.5 (2015 11 13) -na Jon Sneyers &amp; Pieter Wuille (input=pnm)</t>
  </si>
  <si>
    <t>FLIF 0.1.5 (2015 11 13) Jon Sneyers &amp; Pieter Wuille (input=pnm)</t>
  </si>
  <si>
    <t>FLIF 0.1.1 (2015 10 23) Jon Sneyers &amp; Pieter Wuille (input=pnm)</t>
  </si>
  <si>
    <t>FLIF 0.1.1 (2015 10 23) -na Jon Sneyers &amp; Pieter Wuille (input=pnm)</t>
  </si>
  <si>
    <t>FLIF 0.1.6</t>
  </si>
  <si>
    <t>FLIF 0.1.7</t>
  </si>
  <si>
    <t>■ fujifilm_x_e1_20.pgm</t>
  </si>
  <si>
    <t>FLIF 0.2.0rc2</t>
  </si>
  <si>
    <t>(raw2rggb.bat)</t>
  </si>
  <si>
    <t>FLIF 0.2.0rc2 (2015 12 07) Jon Sneyers &amp; Pieter Wuille (input=pnm)</t>
  </si>
  <si>
    <t>WEBP 0.5.0 RC1 -lossless -m 6 -z 9 (20.12.2015)</t>
  </si>
  <si>
    <t>.lz5</t>
  </si>
  <si>
    <t>LZ5 1.3.3 option -18 (2016) P. Skibinski</t>
  </si>
  <si>
    <t>lzw/zlib/jpeg recompressor</t>
  </si>
  <si>
    <t>PreComp 0.4.4 Christian Schneider</t>
  </si>
  <si>
    <t>.lea</t>
  </si>
  <si>
    <t>Luxembourg</t>
  </si>
  <si>
    <t>OptimFrog 5.003 x64 --mode bestnew --advanced-comp. (06.11.'15)</t>
  </si>
  <si>
    <t>FP8_v4 -8 (12.03.2016) Jan Ondrus</t>
  </si>
  <si>
    <t>GFWX 1.0 (01.12.2015) -q:1024 -c:1 -s:1 Graham Fyffe</t>
  </si>
  <si>
    <t>PAQ8PX_v69SSE -7 ('10) Matt Mahoney et al.</t>
  </si>
  <si>
    <t>PAQ8PX_v67-speed-opt. -7 Matt Mahoney et al.</t>
  </si>
  <si>
    <t>PAQ8l -8 (2007) Matt Mahoney et al.</t>
  </si>
  <si>
    <t>PAQ8o5 -7 (2007) Matt Mahoney et al.</t>
  </si>
  <si>
    <t>PAQ8jdSSE -7 (2007) Matt Mahoney et al.</t>
  </si>
  <si>
    <t>PAQ8jc -7 (2006) Matt Mahoney et al.</t>
  </si>
  <si>
    <t>PAQ8fTHIS4 (2007) -8 Matt Mahoney et al.</t>
  </si>
  <si>
    <t>PAQ8i (std dict.) -8 Matt Mahoney et al.</t>
  </si>
  <si>
    <t>PAQ8HP12 -7 (2007) Matt Mahoney et al.</t>
  </si>
  <si>
    <t>PAQ6 -7 / KGB Archiver ('03) Matt Mahoney et al.</t>
  </si>
  <si>
    <t>PAQ4 EmilCont Duritium Matt Mahoney et al.</t>
  </si>
  <si>
    <t>PAQ7 -5 (2005) Matt Mahoney et al.</t>
  </si>
  <si>
    <t>PAQ8o8pre -7 (2007) Matt Mahoney et al.</t>
  </si>
  <si>
    <t>PAQ8PXD_v2 -7 (2012) Matt Mahoney et al.</t>
  </si>
  <si>
    <t>PAQ8PXD_v4 -7 (2012) Matt Mahoney et al.</t>
  </si>
  <si>
    <t>CM</t>
  </si>
  <si>
    <t>PPM / CM</t>
  </si>
  <si>
    <t>Precomp + CM</t>
  </si>
  <si>
    <t>CM + filter</t>
  </si>
  <si>
    <t>order 1-2-3-6 CM</t>
  </si>
  <si>
    <t>order-1 CM</t>
  </si>
  <si>
    <t>red filesizes here mean that the embedded thumbnail is an uncompressed 24bpp image</t>
  </si>
  <si>
    <t>ZCM 0.93 [64-bit] -m8 -r -s (2014) Francesco Nania</t>
  </si>
  <si>
    <t>Camera Raw .ARW Benchmark</t>
  </si>
  <si>
    <t>table 1 of 1</t>
  </si>
  <si>
    <t>■ dsc0891.arw</t>
  </si>
  <si>
    <t>■ dsc0904.arw</t>
  </si>
  <si>
    <t>■ dsc0911.arw</t>
  </si>
  <si>
    <t>■ dsc1869.arw</t>
  </si>
  <si>
    <t>■ dsc2032.arw</t>
  </si>
  <si>
    <t>■ dsc2927.arw</t>
  </si>
  <si>
    <t>■ dsc2936.arw</t>
  </si>
  <si>
    <t>■ dsc3015.arw</t>
  </si>
  <si>
    <t>■ dsc3019.arw</t>
  </si>
  <si>
    <t>■ dsc3039.arw</t>
  </si>
  <si>
    <t>■ dsc3076.arw</t>
  </si>
  <si>
    <t>■ dsc3226.arw</t>
  </si>
  <si>
    <t>■ dsc3342.arw</t>
  </si>
  <si>
    <t>■ dsc3399.arw</t>
  </si>
  <si>
    <t>■ dsc3400.arw</t>
  </si>
  <si>
    <t>■ dsc3414.arw</t>
  </si>
  <si>
    <t>■ dsc3475.arw</t>
  </si>
  <si>
    <t>■ dsc3584.arw</t>
  </si>
  <si>
    <t>lc8 lp4 pb4</t>
  </si>
  <si>
    <t>images (slow)'</t>
  </si>
  <si>
    <t>'images (slow)'</t>
  </si>
  <si>
    <t xml:space="preserve">  - converted to DNG 1.4 (compressed, not linear)</t>
  </si>
  <si>
    <t>ZSTD 0.6.0 -22 --ultra (2016) Yann Collet</t>
  </si>
  <si>
    <t>BCM 1.02 -b100 (2016) Ilya Muravyov</t>
  </si>
  <si>
    <t>radix matchfinder + LZMA2 + filter</t>
  </si>
  <si>
    <t>BROTLI 0.3.0 (2016) -q11 -w24 Google Inc.</t>
  </si>
  <si>
    <t>BROTLI 0.2.0 (2015) -q 10 Google Inc.</t>
  </si>
  <si>
    <t>ZCM 0.93 -m8 -r -s (2015) Francesco Nania</t>
  </si>
  <si>
    <t>Zip-Ada 50 (2016) -es -r G. de Montmollin</t>
  </si>
  <si>
    <t>Deflate, BZIP2, LZMA</t>
  </si>
  <si>
    <t>Zip-Ada 50 + REZIP (2016) G. de Montmollin</t>
  </si>
  <si>
    <t>￭ RGBA / RGB in uncompressed .PAM/.PPM format</t>
  </si>
  <si>
    <t>FLIF 0.2.0rc2 (2015 12 07) Jon Sneyers &amp; Pieter Wuille</t>
  </si>
  <si>
    <t>TSIPcoder 1.36e HXC -HXCauto 1 -pred ADAPT (27.10.2015) Tilo Strutz</t>
  </si>
  <si>
    <t>FLIF 0.2.0rc16 [x64] (2016 04 14) Jon Sneyers &amp; Pieter Wuille</t>
  </si>
  <si>
    <t>FLIF 0.2.0rc16 [x64] (2016 04 14) -Y Jon Sneyers &amp; Pieter Wuille</t>
  </si>
  <si>
    <t>ZCM 0.93 [x64] -m8 -r -s (2015) Francesco Nania</t>
  </si>
  <si>
    <t>WinRar [x64] 5.20 b3 (2014) (1 GB dict + Delta) Eugene Roshal</t>
  </si>
  <si>
    <t>.TIFF/deflate (XnViewMP 0.79 [x64])</t>
  </si>
  <si>
    <t>.TIFF/lzw + predictor (XnViewMP 0.79 [x64])</t>
  </si>
  <si>
    <t>FLIF 0.2.0rc16 [x64] (2016 04 14) -Y Jon Sneyers &amp; Pieter Wuille (input=ppm)</t>
  </si>
  <si>
    <t>FLIF 0.2.0rc16 [x64] (2016 04 14) Jon Sneyers &amp; Pieter Wuille (input=ppm)</t>
  </si>
  <si>
    <t>FLIC 2.1 [x64] (16.11.11) Alexander Rhatushnyak</t>
  </si>
  <si>
    <t>NanoZip 0.09α [x64] -cc -m2g (04.11.2011) Sami Runsas</t>
  </si>
  <si>
    <t>ZCM 0.93 [x64] -m8 -r -s (2014) Francesco Nania</t>
  </si>
  <si>
    <t>WinRar [x64] 4.20 (2012) (4096 KB dict + Delta) Eugene Roshal</t>
  </si>
  <si>
    <t>WinRar 5.20 b3 [x64] (2014) (1 GB dict + Delta) Eugene Roshal</t>
  </si>
  <si>
    <t>7-Zip 9.2.9 [x64] (0=delta:4 1=lzma2) Igor Pavlov</t>
  </si>
  <si>
    <t>ZCM 0.93 [x64] -m7 -r -s (2014) Francesco Nania</t>
  </si>
  <si>
    <t>WinRar 4.20 [x64] (2012) (4096 KB dict + Delta) Eugene Roshal</t>
  </si>
  <si>
    <t>7-Zip 9.2.9 [x64] (0=delta:2 1=lzma2) Igor Pavlov</t>
  </si>
  <si>
    <t>7-Zip [x64] 15.14 (0=delta:4 1=lzma2) Igor Pavlov</t>
  </si>
  <si>
    <t>MCM 0.83 [x64] -x9 (2015) Mathieu Chartier</t>
  </si>
  <si>
    <t>FLAC 1.3.0 [x64]  -8 -b 4096 (02.06.2013) Josh Coalson &amp; xiph.org</t>
  </si>
  <si>
    <t>MCM 0.83 [x64] -x9 (2015) Mathieu Chartier)</t>
  </si>
  <si>
    <t>WinRar 4.20 [x64] (4096 KB dictionary + Delta) (2012) Eugene Roshal</t>
  </si>
  <si>
    <t>OptimFrog 5.003 [x64] --mode bestnew --advanced-comp. (06.11.'15)</t>
  </si>
  <si>
    <t>WAVPACK 4.70.0 beta [x64] -HHX6 (23.05.2013) David Bryant</t>
  </si>
  <si>
    <t>FLAC 1.3.0 [x64] -8 -b 4096 (02.06.2013) Josh Coalson &amp; xiph.org</t>
  </si>
  <si>
    <t>WAVPACK 4.70.0 beta [x64] (23.05.2013) David Bryant</t>
  </si>
  <si>
    <t>FLIF 0.2.0rc16</t>
  </si>
  <si>
    <t>lzw/zlib/jpeg/mp3 recompressor + bzip2</t>
  </si>
  <si>
    <t>PreComp 0.4.4 -cb Christian Schneider</t>
  </si>
  <si>
    <t>PreComp 0.4.5 -cb Christian Schneider</t>
  </si>
  <si>
    <t>B1 Free Archiver 1.7.122.0 (2015) max</t>
  </si>
  <si>
    <t>.bulk</t>
  </si>
  <si>
    <t>BulkZip 0.75.5161 (2016) Philipp Elhaus</t>
  </si>
  <si>
    <t>.xpack</t>
  </si>
  <si>
    <t>XPACK -9 (2016) Eric Biggers</t>
  </si>
  <si>
    <t>.7ze</t>
  </si>
  <si>
    <t>ECT 0.3  -9 -allfilters (25.03.2016) Felix Hanau</t>
  </si>
  <si>
    <t>PNGOUT (13.02.2015) /s0 /b0</t>
  </si>
  <si>
    <t>ECT 0.3  -9 (25.03.2016) Felix Hanau</t>
  </si>
  <si>
    <t>BCE 0.4 Christoph Diegelmann</t>
  </si>
  <si>
    <t>order-n bitwise context model + BWT</t>
  </si>
  <si>
    <t>.bce</t>
  </si>
  <si>
    <t>BCE 0.4 with config's Christoph Diegelmann</t>
  </si>
  <si>
    <t>PackJPG 2.5k (22.01.2016) Matthias Stirner</t>
  </si>
  <si>
    <t>packMP3 1.0g (22.01.2016) Matthias Stirner</t>
  </si>
  <si>
    <t>PLZIP 1.5 -9 -s120MiB L. Ersek &amp; A. Diaz Diaz</t>
  </si>
  <si>
    <t>PLZIP 1.5 -9 -s500MiB L. Ersek &amp; A. Diaz Diaz</t>
  </si>
  <si>
    <t>Lepton 1.2 (slow-best-ratio) Daniel Horn</t>
  </si>
  <si>
    <t>Lepton 1.2 Daniel Horn</t>
  </si>
  <si>
    <t>EcoZip 16.02 (2016) Stephan Busch et al.</t>
  </si>
  <si>
    <t>EMMA 0.1.13</t>
  </si>
  <si>
    <t>decoding time in sec:</t>
  </si>
  <si>
    <t>EcoZip 16.02</t>
  </si>
  <si>
    <t xml:space="preserve"> constructed</t>
  </si>
  <si>
    <t>-s8:2</t>
  </si>
  <si>
    <t>encoding time</t>
  </si>
  <si>
    <t>GLZA 0.7.1 (2016) Kennon Conrad</t>
  </si>
  <si>
    <t>.glze</t>
  </si>
  <si>
    <t xml:space="preserve"> order 0 arithmetic coding of dictionary symbols</t>
  </si>
  <si>
    <t>LZ5 1.3.3 option -15 -B256M (2016) P. Skibinski</t>
  </si>
  <si>
    <t>.lzfse</t>
  </si>
  <si>
    <t>LZFSE (2016) Apple Inc.</t>
  </si>
  <si>
    <t>LZVN (2016) Pike R. Alpha</t>
  </si>
  <si>
    <t>.lzvn</t>
  </si>
  <si>
    <t>15 MB, max, eng. sol.</t>
  </si>
  <si>
    <t>Compressia 0.96</t>
  </si>
  <si>
    <t>-b15 -s</t>
  </si>
  <si>
    <t>TAR</t>
  </si>
  <si>
    <t>Deflate, word size=64, max (7-Zip 9.25)</t>
  </si>
  <si>
    <t>DMC</t>
  </si>
  <si>
    <t>test set type</t>
  </si>
  <si>
    <t>Packet 1.9 -mx -s -b5 -h9 Francesco Nania</t>
  </si>
  <si>
    <t>Brotli 0.5.2 -11 (2016) Google Inc.</t>
  </si>
  <si>
    <t>LZSS/mscompress</t>
  </si>
  <si>
    <t>￭ stream: H.264 AVC, 16:9, 1201 kb/s</t>
  </si>
  <si>
    <t>￭ stream: H.264 AVC, 2.424, 4107 kb/s</t>
  </si>
  <si>
    <t>￭ stream: MPEG AAC, 2ch, 44.1 kHz 110 kb/s</t>
  </si>
  <si>
    <t>￭ stream: E-AC-3, 6ch, 48kHz, 640 kb/s</t>
  </si>
  <si>
    <t>￭ stream: AAC, 2ch, 44.1kHz, 96 kb/s</t>
  </si>
  <si>
    <t>￭ stream: AC-3, 6ch, 48kHz, 384 kb/s</t>
  </si>
  <si>
    <t>FLIFRAW v0</t>
  </si>
  <si>
    <t>FLIFRAW v1</t>
  </si>
  <si>
    <t xml:space="preserve">  - converted to FLIF 0.2.0 format (16-bit RGB)</t>
  </si>
  <si>
    <t xml:space="preserve">  - converted to PNG format (16-bit RGB)</t>
  </si>
  <si>
    <t xml:space="preserve">  - converted to TIFF/deflate format (16-bit RGB)</t>
  </si>
  <si>
    <t xml:space="preserve">  - converted to JPEG2000 lossless format (16-bit RGB)</t>
  </si>
  <si>
    <t>LZHAM α7r1 -m4 -d28 -t7 -e -x Rich Geldreich, Jr.</t>
  </si>
  <si>
    <t>7-Zip 16.02 (lzma lc8 lp4 pb4) Igor Pavlov</t>
  </si>
  <si>
    <t>7-Zip 16.02 (lzma2, 128 MB ultra) Igor Pavlov</t>
  </si>
  <si>
    <t>7-Zip 16.02 (lzma2, 96MB ultra) Igor Pavlov</t>
  </si>
  <si>
    <t>7-Zip 16.02 + m7zRepacker</t>
  </si>
  <si>
    <t>7-Zip 16.02 (delta:4 PPMd:o5) Igor Pavlov</t>
  </si>
  <si>
    <t>7z-ARW v0 Eugene Shelwien</t>
  </si>
  <si>
    <t>FLIFRAW v0 (19.08.2016) Eugene Shelwien</t>
  </si>
  <si>
    <t>FLIFRAW v1 (21.08.2016) Eugene Shelwien</t>
  </si>
  <si>
    <t>7z-ARW v0 (23.08.2016) Eugene Shelwien</t>
  </si>
  <si>
    <t>￭ obs_temp.trace (IEEE 754 64-Bit Double-Precision Floating-Point Dataset)</t>
  </si>
  <si>
    <t>data from a weather satellite denoting how much the observed temperature differs from the actual contiguous analysis temperature field</t>
  </si>
  <si>
    <t>simulation of the velocity field of a human brain during a head impact</t>
  </si>
  <si>
    <t>￭ num_brain.trace IEEE 754 64-Bit Double-Precision Floating-Point Dataset</t>
  </si>
  <si>
    <t>NPB computational fluid dynamics pseudo-application lu</t>
  </si>
  <si>
    <t>￭ msg_lu.trace IEEE 754 64-Bit Double-Precision Floating-Point Dataset</t>
  </si>
  <si>
    <t>7-Zip 16.02 (lzma lc1:lp4:pb3, 96MB ultra) Igor Pavlov</t>
  </si>
  <si>
    <t>SPDP 1.0 option 9 (2016) Martin Burtscher</t>
  </si>
  <si>
    <t>DC 0.99.307 -x -r -fs -b16300fxldo / -fcpre Edgar Binder</t>
  </si>
  <si>
    <t>.sdmc</t>
  </si>
  <si>
    <t>XELOZ 0.3.5.3 (2014) c889 Xezz</t>
  </si>
  <si>
    <t>.bmzfp</t>
  </si>
  <si>
    <t>BWT + MTF + ZLE + ARI</t>
  </si>
  <si>
    <t>.bmgvc</t>
  </si>
  <si>
    <t>BWT + MTF + ZLE + Rice</t>
  </si>
  <si>
    <t>SDMC v0 C1600,32 (2015) Xezz</t>
  </si>
  <si>
    <t>BMZFP 1.1 c330m (2014) Xezz</t>
  </si>
  <si>
    <t>PPMHuff 0.3 (2015) Joseph H. Allen &amp; Xezz</t>
  </si>
  <si>
    <t>ARCA 1.29 (1987) W.Chin &amp; V.Buerg</t>
  </si>
  <si>
    <t>CRUSH 1.1 -9 (2016) Ilya Muravyov &amp; Xezz</t>
  </si>
  <si>
    <t>WinAce 1.2 (1999) max 1024k Marcel Lemke</t>
  </si>
  <si>
    <t>.fpaq0s6a</t>
  </si>
  <si>
    <t>LZP + order 2 ARI</t>
  </si>
  <si>
    <t>FPAQ0s6a (2015) Matt Mahoney et al.</t>
  </si>
  <si>
    <t>.alba</t>
  </si>
  <si>
    <t>BPE</t>
  </si>
  <si>
    <t>ALBA 0.8 Cd+c1024e2 (2014) Xezz</t>
  </si>
  <si>
    <t>.ppmh</t>
  </si>
  <si>
    <t>AHREE 2.2 c3,255,3 (2015) Xezz</t>
  </si>
  <si>
    <t>.ahree</t>
  </si>
  <si>
    <t>PPM + Huffman</t>
  </si>
  <si>
    <t>PreComp 0.4.5 Christian Schneider</t>
  </si>
  <si>
    <t>mem alloc fail</t>
  </si>
  <si>
    <t>.hpz</t>
  </si>
  <si>
    <t>Predicition by hash</t>
  </si>
  <si>
    <t>HPZ 2.0 c15,13,9 (2015) Xezz</t>
  </si>
  <si>
    <t>LZW-AB (2016) David Bryant</t>
  </si>
  <si>
    <t>LZW + ARI</t>
  </si>
  <si>
    <t>LZ4a -9 (2016) Yann Collet &amp; Xezz</t>
  </si>
  <si>
    <t>.lz4a</t>
  </si>
  <si>
    <t>France &amp; Japan</t>
  </si>
  <si>
    <t>BMGVC v0 c255m (2014) Xezz</t>
  </si>
  <si>
    <t>CRUSH 1.4 -9 (2016) Ilya Muravyov &amp; Xezz</t>
  </si>
  <si>
    <t>Tangelo 2.3 (2013) Jan Ondrus</t>
  </si>
  <si>
    <t>Tangelo 2.3 rev 0116 J. Ondrus &amp; F. Langlet</t>
  </si>
  <si>
    <t>Tangelo 2.4 (2013) Jan Ondrus</t>
  </si>
  <si>
    <t>Tangelo 2.0 (2013) Jan Ondrus</t>
  </si>
  <si>
    <t>Canada &amp; Russia</t>
  </si>
  <si>
    <t>Italia &amp; United States</t>
  </si>
  <si>
    <t>USA &amp; Italy</t>
  </si>
  <si>
    <t>USA &amp; Poland</t>
  </si>
  <si>
    <t>Russia &amp; Poland</t>
  </si>
  <si>
    <t>Czech Republic &amp; USA</t>
  </si>
  <si>
    <t>GLZA 0.7.1 Kennon Conrad</t>
  </si>
  <si>
    <t>ZLIB recompressor + PLZMA</t>
  </si>
  <si>
    <t>USA &amp; Ukraine</t>
  </si>
  <si>
    <t>Uzbekistan</t>
  </si>
  <si>
    <t>Packet 1.9 -mx -s -b5 -h9 (2016) Francesco Nania</t>
  </si>
  <si>
    <t>REFLATE v1j (2016) Eugene Shelwien</t>
  </si>
  <si>
    <t>CRUSH 1.7 -9 (2016) Ilya Muravyov &amp; Xezz</t>
  </si>
  <si>
    <t>GLZA 0.8 Kennon Conrad</t>
  </si>
  <si>
    <t>.rcm</t>
  </si>
  <si>
    <t>RCM co (2016) Nauful &amp; Cade</t>
  </si>
  <si>
    <t>REFLATE v1l (2016) Eugene Shelwien</t>
  </si>
  <si>
    <t>FreeARC'Next 0.11 -mx (2016) Bulat Ziganshin</t>
  </si>
  <si>
    <t>FreeARC 0.67 (2012) -mx -ld1600m Bulat Zigashin</t>
  </si>
  <si>
    <t>Deflate, LZMA</t>
  </si>
  <si>
    <t>Zip-Ada 51 -eps (2016) Gautier de Montmollin</t>
  </si>
  <si>
    <t>Zip-Ada 52 -ep1 (2016) Gautier de Montmollin</t>
  </si>
  <si>
    <t>Zip-Ada 52 -ep2 (2016) Gautier de Montmollin</t>
  </si>
  <si>
    <t>LZH + BZ2 + LZMA + LZMA2 + PPMd + Wavpack + JPEG/MP3 recompression</t>
  </si>
  <si>
    <t>LZH + BZ2 + LZMA + LZMA2 + PPMd + Wavpack + JPEG recompression</t>
  </si>
  <si>
    <t>WinZip 21.0 ZIPX best method - Corel Corp.</t>
  </si>
  <si>
    <t>EMMA 0.1.19</t>
  </si>
  <si>
    <t>LZA 0.82 -mx9 -b7 -h9 -s -r Francesco Nania</t>
  </si>
  <si>
    <t>SQUID 0.0.1 c2 (2016) Ilya Muravyov</t>
  </si>
  <si>
    <t>.squid</t>
  </si>
  <si>
    <t>OptimFrog 5.100 x64 --preset 9 (02.09.'16) Florin Ghido</t>
  </si>
  <si>
    <t>OptimFrog 5.100 x64 --preset 10 (02.09.'16) Florin Ghido</t>
  </si>
  <si>
    <t>OptimFrog 5.100 x64 --preset max (02.09.'16) Florin Ghido</t>
  </si>
  <si>
    <t>HPZ 2.1 C15,10,1000,1,4 (2017) Xezz</t>
  </si>
  <si>
    <t>.msc</t>
  </si>
  <si>
    <t>MSC 0.0.6.4 (CLS) (2013) ProFrager</t>
  </si>
  <si>
    <t>.bin</t>
  </si>
  <si>
    <t>FreeARC 0.67 + BMF 2.01 + LZMA + TAK 2.3.0</t>
  </si>
  <si>
    <t>South Africa &amp; India</t>
  </si>
  <si>
    <t>Masked Compression 2.5.1 ultral2 (2016)</t>
  </si>
  <si>
    <t>Masked Compression 2.5.1 ultral1 (2016)</t>
  </si>
  <si>
    <t>Masked Compression 2.5.1 ultral3 (2016)</t>
  </si>
  <si>
    <t>WEBP 0.6.0rc2 -lossless -m 6 (25.01.2017) (input=png)</t>
  </si>
  <si>
    <t>FLIF 0.3 [x64] (2017 01 04) -Y Jon Sneyers &amp; Pieter Wuille</t>
  </si>
  <si>
    <t>FLIF 0.3 [x64] (2017 01 04) -n Jon Sneyers &amp; Pieter Wuille</t>
  </si>
  <si>
    <t>PowerArchiver 15.00.38 optimized ultra solid</t>
  </si>
  <si>
    <t>PowerArchiver 13.02.04 optimized ultra solid</t>
  </si>
  <si>
    <t>.pa</t>
  </si>
  <si>
    <t>.lzg</t>
  </si>
  <si>
    <t>LZFSE (2017) Apple Inc.</t>
  </si>
  <si>
    <t>LIZv1 + Huffman</t>
  </si>
  <si>
    <t>.liz</t>
  </si>
  <si>
    <t>Lizard 1.0 -49 -B7 -BD P. Skibinski</t>
  </si>
  <si>
    <t>ZSTD 1.1.4 -22 --ultra (2017) Yann Collet</t>
  </si>
  <si>
    <t>LibDeflate 0.7 Eric Biggers</t>
  </si>
  <si>
    <t>Deflate / LZMA</t>
  </si>
  <si>
    <t>Snappy 1.1.4 Google Inc.</t>
  </si>
  <si>
    <t>.snappy</t>
  </si>
  <si>
    <t>LZG 1.0.8 -9 Marcus Geelnard</t>
  </si>
  <si>
    <t>ZSTDMT 1.1.4 -19 (2017) Yann Collet</t>
  </si>
  <si>
    <t>Executable Compression</t>
  </si>
  <si>
    <t>FFmpeg</t>
  </si>
  <si>
    <t>MKVtoonix-GUI</t>
  </si>
  <si>
    <t>SumatraPDF</t>
  </si>
  <si>
    <t>Telegram</t>
  </si>
  <si>
    <t>Executables</t>
  </si>
  <si>
    <t>2017-04-01</t>
  </si>
  <si>
    <t>10.0</t>
  </si>
  <si>
    <t>3.1.2</t>
  </si>
  <si>
    <t>1.0.27</t>
  </si>
  <si>
    <t>￭ Windows PE format</t>
  </si>
  <si>
    <t>website</t>
  </si>
  <si>
    <t>FP8_v4 -8 (2016) Jan Ondrus</t>
  </si>
  <si>
    <t>SLIM 0.23d -o16 -m800 -te+ Serge Voskoboynikov</t>
  </si>
  <si>
    <t>PPMonstr ver J -o16 -m1024 Dmitry Shkarin</t>
  </si>
  <si>
    <t>FreeARC 0.67 (2012) -mx -ld1600m dispack Bulat Zigashin</t>
  </si>
  <si>
    <t>7-ZIP 16.0 [x64] ultra128:fb273:bt4:lc3 yx=9</t>
  </si>
  <si>
    <t>Tangelo 2.3 rev 0116 (2016) Jan Ondrus &amp; F. Langlet</t>
  </si>
  <si>
    <t>UPX 3.93 (2017) -9 (LZMA) M. Oberhumer, L. Molnar &amp; J. Reiser</t>
  </si>
  <si>
    <t>WinRar 5.40 [x64] solid best 1GB Eugene Roshal</t>
  </si>
  <si>
    <t>UPX 3.93 (2017) -9 (NRV2E) M. Oberhumer, L. Molnar &amp; J. Reiser</t>
  </si>
  <si>
    <t>Deflate 64, word size=257 ultra (7z 16.0)</t>
  </si>
  <si>
    <t>Cexe Executable Compressor v1.0b (1999) Scott Ludwig</t>
  </si>
  <si>
    <t>ANDpakk2 0.18 (2007) Dmitry "AND" Andreev</t>
  </si>
  <si>
    <t>ASPack v2.41 (2017) StarForce Technologies Ltd.</t>
  </si>
  <si>
    <t>Enigma Protector 4.40 [x64] (2016) Vladimir Sukhov</t>
  </si>
  <si>
    <t>FSG (Fast Small Good) 2.0 (2002) bart/xt</t>
  </si>
  <si>
    <t>kkrunchy 0.23a2 --best (2006) F. Giesen</t>
  </si>
  <si>
    <t>MEW11 SE 1.2 (2004) lzma e8e9 Northfox</t>
  </si>
  <si>
    <t>Obsidium 1.6.0 [x64] (2017) Obsidium Software</t>
  </si>
  <si>
    <t>PC Guard for Windows 6.00.0230 (2017) SofPro Labs</t>
  </si>
  <si>
    <t>PECompact 3.02.2 -9 aPLib (2010) Jeremy Collake</t>
  </si>
  <si>
    <t>PECompact 3.02.2 -9 BriefLZ (2010) Jeremy Collake</t>
  </si>
  <si>
    <t>PECompact 3.02.2 -9 FFCE (2010) Jeremy Collake</t>
  </si>
  <si>
    <t>PECompact 3.02.2 -9 JCalg1 (2010) Jeremy Collake</t>
  </si>
  <si>
    <t>PECompact 3.02.2 -9 LZMA (2010) Jeremy Collake</t>
  </si>
  <si>
    <t>PECompact 3.02.2 -9 LZMA2 (2010) Jeremy Collake</t>
  </si>
  <si>
    <t>PESpin1.23 - aPLib compression (2016) cyberbob</t>
  </si>
  <si>
    <t>PESpin1.23 - UCL compression (2016) cyberbob</t>
  </si>
  <si>
    <t>Petite 2.4 (2015) -8 Un4seen Developments Ltd.</t>
  </si>
  <si>
    <t>SmartPacker Pro 1.9.8.1 (2017) Smart Packer Solutions</t>
  </si>
  <si>
    <t>TELOCK 0.98 (2001) tE!</t>
  </si>
  <si>
    <t>Themida 2.4.5.0 [x64] (2016) Oreans Tehnologies</t>
  </si>
  <si>
    <t>Mpress 2.19 -s (2012) Vitaly Evseenko</t>
  </si>
  <si>
    <t>NsPACK 3.7 -max (2006) North Star</t>
  </si>
  <si>
    <t>Packman 1.0 (2006) Brandon LaCombe</t>
  </si>
  <si>
    <t>ZPAQ 7.15 [x64] -method 77 (2016) Matt Mahoney</t>
  </si>
  <si>
    <t>XComp/Xpack 0.98 LZMA (2007) JoKo</t>
  </si>
  <si>
    <t>Upack 0.399 (2007) Dwing</t>
  </si>
  <si>
    <t>NanoZip 0.09 [x64] -cc -m2g Sami Runsas</t>
  </si>
  <si>
    <t>MCM 0.83 [x64] -x11 (2015) Mathieu Chartier</t>
  </si>
  <si>
    <t>FreeARC'Next 0.11 [x64] -mx (2016) Bulat Ziganshin</t>
  </si>
  <si>
    <t>Packet 1.9 [x64] -mx -s -b5 -h9 (2016) Francesco Nania</t>
  </si>
  <si>
    <t>ZSTD 1.1.4 [x64] -22 --ultra (2016) Yann Collet</t>
  </si>
  <si>
    <t>eXpressor 1.5.0.1 level3 (2007) CGSoftLabs</t>
  </si>
  <si>
    <t>MuCruncher 2.0 -d27 -fb273 -lc8 -lp0 -pb3 (2006) Deathangel's Shadow</t>
  </si>
  <si>
    <t>PackRAW 0.0.1</t>
  </si>
  <si>
    <t>7-Zip 17.00</t>
  </si>
  <si>
    <t>PackRAW 0.0.2</t>
  </si>
  <si>
    <t>EMMA 0.1.23</t>
  </si>
  <si>
    <t xml:space="preserve">  - same image recorded with Nikon lossless compression</t>
  </si>
  <si>
    <t xml:space="preserve">  - same image recorded with Nikon lossy compression</t>
  </si>
  <si>
    <t>CANON EOS 7D raw image (.CR2)</t>
  </si>
  <si>
    <t>CANON IXUS 900TI raw image (.CRW)</t>
  </si>
  <si>
    <t>FUJIFILM X E1 raw image (.RAF)</t>
  </si>
  <si>
    <t>LEAF APTUS 22 raw image (.MOS)</t>
  </si>
  <si>
    <t>LEICA SL (Typ 601) raw image (.DNG)</t>
  </si>
  <si>
    <t>NIKON D3X raw image (.NEF)</t>
  </si>
  <si>
    <t>OLYMPUS E-PM2 raw image (.ORF)</t>
  </si>
  <si>
    <t>PANASONIC LUMIX G5 raw image (.RW2)</t>
  </si>
  <si>
    <t>SIGMA DP2 raw image (.X3F)</t>
  </si>
  <si>
    <t>SONY A55 raw image (.ARW)</t>
  </si>
  <si>
    <t>SONY A7 Mark II raw image (.ARW)</t>
  </si>
  <si>
    <t>SAMSUNG S7 raw image (.DNG)</t>
  </si>
  <si>
    <t>OLYMPUS SP-570uz raw image (.ORF)</t>
  </si>
  <si>
    <t>NIKON D800 raw image (.NEF) (14 bit)</t>
  </si>
  <si>
    <t>MICROSOFT LUMIA 950 raw image (.DNG)</t>
  </si>
  <si>
    <t>HASSELBLAD X1D 50c raw image (.3FR)</t>
  </si>
  <si>
    <t>.RWZ RAWZOR 0.47 beta (20.02.2010) Sachin Garg</t>
  </si>
  <si>
    <t>ZPAQ 7.15 -method 53 (2016) Matt Mahoney</t>
  </si>
  <si>
    <t>Brotli 0.6.0 -11 (2017) Google Inc.</t>
  </si>
  <si>
    <t>JamPack 0.70 -b1024 (2017) Lucas Marsh</t>
  </si>
  <si>
    <t>LZ77 + BWT + filter</t>
  </si>
  <si>
    <t>PackRAW 0.1</t>
  </si>
  <si>
    <t>.cm4</t>
  </si>
  <si>
    <t>CM4 (2014) Nauful</t>
  </si>
  <si>
    <t>CM5 (2014) Nauful</t>
  </si>
  <si>
    <t>CMV 0.1.1 -m1,3,+ (2016) Mauro Vezzosi</t>
  </si>
  <si>
    <t>.cmv</t>
  </si>
  <si>
    <t>LSTM v1 (2017) Byron Knoll</t>
  </si>
  <si>
    <t>-m1,3,+</t>
  </si>
  <si>
    <t>CMV 0.1.1 (2016) Mauro Vezzosi</t>
  </si>
  <si>
    <t>PAQ8PX_v75 Matt Mahoney et al.</t>
  </si>
  <si>
    <t>preset 'text (slow)'</t>
  </si>
  <si>
    <t>EMMA 0.1.23 (2017) Márcio Pais</t>
  </si>
  <si>
    <t>PAQ8PXD_v6 Matt Mahoney et al.</t>
  </si>
  <si>
    <t>PAQ8PXD_v4 Matt Mahoney et al.</t>
  </si>
  <si>
    <t>PAQ8PXD_v5 Matt Mahoney et al.</t>
  </si>
  <si>
    <t>PAQ8PXD_v18 Matt Mahoney et al.</t>
  </si>
  <si>
    <t>PAQ8PXD_v15 Matt Mahoney et al.</t>
  </si>
  <si>
    <t>PAQ8oSSE2 v2 Matt Mahoney et al.</t>
  </si>
  <si>
    <t>PAQ8jc Matt Mahoney et al.</t>
  </si>
  <si>
    <t>PAQ 8a Matt Mahoney et al.</t>
  </si>
  <si>
    <t>PAQ8 HP12 any Matt Mahoney et al.</t>
  </si>
  <si>
    <t>PAQ8 HP7 Matt Mahoney et al.</t>
  </si>
  <si>
    <t>PAQ8 HP6 Matt Mahoney et al.</t>
  </si>
  <si>
    <t>PAQ6 ebb Blaster Matt Mahoney et al.</t>
  </si>
  <si>
    <t>MCM 0.83 (2015) Mathieu Chartier</t>
  </si>
  <si>
    <t>NanoZip 0.05 GUI Sami Runsas</t>
  </si>
  <si>
    <t>LPAQ9e Matt Mahoney et al.</t>
  </si>
  <si>
    <t>ZPAQ 6.28 x64 Matt Mahoney</t>
  </si>
  <si>
    <t>MCM 0.82 (2015) Mathieu Chartier</t>
  </si>
  <si>
    <t>LPAQ7 Matt Mahoney et al.</t>
  </si>
  <si>
    <t>DRT + LPAQ9l Matt Mahoney et al.</t>
  </si>
  <si>
    <t>CMM4 0.01e Christopher Mattern</t>
  </si>
  <si>
    <t>ZCM 0.50 Francesco Nania</t>
  </si>
  <si>
    <t>ZCM 0.80 Francesco Nania</t>
  </si>
  <si>
    <t>CCMx 1.20g Christian Martelock</t>
  </si>
  <si>
    <t>CCM 1.20a Christian Martelock</t>
  </si>
  <si>
    <t>CCMx 1.30c Christian Martelock</t>
  </si>
  <si>
    <t>WinRK 2.1.6 Malcolm Taylor</t>
  </si>
  <si>
    <t>PPMonstr ver J Dmitry Shkarin</t>
  </si>
  <si>
    <t>CCM 1.1.7a Christian Martelock</t>
  </si>
  <si>
    <t>GLZA 0.6.0 Kennon Conrad</t>
  </si>
  <si>
    <t>WinZip 11.0.7313 Corel Corp.</t>
  </si>
  <si>
    <t>WinZip 12.0.8252 Corel Corp.</t>
  </si>
  <si>
    <t>WinRar 3.62 Eugene Roshal</t>
  </si>
  <si>
    <t>WinRK 3.0.3 beta Malcolm Taylor</t>
  </si>
  <si>
    <t>7-Zip 17.0 (LZMA) Igor Pavlov</t>
  </si>
  <si>
    <t>7-Zip 17.0 (PPMd) Igor Pavlov</t>
  </si>
  <si>
    <t>WinAce 2.65 Final Marcel Lemke</t>
  </si>
  <si>
    <t>PAQ 8e (all .dic) Matt Mahoney et al.</t>
  </si>
  <si>
    <t>.cm5</t>
  </si>
  <si>
    <t>CM4 EXTENDED (2014) Nauful</t>
  </si>
  <si>
    <t>RH4 -r2 c6 (2014) Nauful</t>
  </si>
  <si>
    <t>ZSTD 1.3.0 -22 --ultra (2017) Yann Collet</t>
  </si>
  <si>
    <t>.qrk</t>
  </si>
  <si>
    <t>JPEG/ZLIB Recompression + Fast CM + Filter</t>
  </si>
  <si>
    <t>GIF/JPEG/ZLIB Recompression + Fast CM + Filter</t>
  </si>
  <si>
    <t>FP8_v5 -8 (2017) Jan Ondrus</t>
  </si>
  <si>
    <t>Quark 0.96r -m1 -d24 -l6 Frederic Bautista</t>
  </si>
  <si>
    <t>PPM o4 (2012) Nauful</t>
  </si>
  <si>
    <t>.ppm</t>
  </si>
  <si>
    <t>RCM (2016) Nauful</t>
  </si>
  <si>
    <t>ULZ 0.06 c9 (2017) Ilya Muravyov</t>
  </si>
  <si>
    <t>GIF/JPEG Recompression + CM + filter</t>
  </si>
  <si>
    <t>.paq8pxd23</t>
  </si>
  <si>
    <t>GIF/JPEG/ZLIB Recompression + CM</t>
  </si>
  <si>
    <t>PAQ8PXD_v16-skbuild -s8:2 Matt Mahoney et al.</t>
  </si>
  <si>
    <t>PAQ8PXD_v15 -s8 Matt Mahoney et al.</t>
  </si>
  <si>
    <t>PAQ8PXD_v13-skbuild-1 -8 Matt Mahoney et al.</t>
  </si>
  <si>
    <t>PAQ8PXD_v12-skbuild-1 -8 Matt Mahoney et al.</t>
  </si>
  <si>
    <t>PAQ8PXD_v15 -f8:2 Matt Mahoney et al.</t>
  </si>
  <si>
    <t>PAQ8PXD_v12 -7 (2014) Matt Mahoney et al.</t>
  </si>
  <si>
    <t>PAQ8PXD_v23 -s8:2 Matt Mahoney et al.</t>
  </si>
  <si>
    <t>Base64/GIF/JPEG/LZSS/ZLIB Recompression + CM + filter</t>
  </si>
  <si>
    <t>Base64/JPEG/LZSS Recompression + CM + TTA + filter</t>
  </si>
  <si>
    <t>Base64/JPEG Recompression + CM + filter</t>
  </si>
  <si>
    <t>Base64/JPEG/LZSS Recompression + CM + filter</t>
  </si>
  <si>
    <t>JPEG Recompression + CM</t>
  </si>
  <si>
    <t>JPEG Recompression + CM + filter</t>
  </si>
  <si>
    <t>JPEG Recompression + Fast CM + filter</t>
  </si>
  <si>
    <t>FPC (2017) Konstantinos Agiannis</t>
  </si>
  <si>
    <t>Adaptive Huffman</t>
  </si>
  <si>
    <t>.fpc</t>
  </si>
  <si>
    <t>Crush Codec (2013) Abhilash</t>
  </si>
  <si>
    <t>GPU</t>
  </si>
  <si>
    <t>uses</t>
  </si>
  <si>
    <t>CUDA</t>
  </si>
  <si>
    <t>no</t>
  </si>
  <si>
    <t>OpenCL</t>
  </si>
  <si>
    <t>.heat</t>
  </si>
  <si>
    <t>HeatShrink 0.4.1 -w 10 -l 4 Scott Vokes</t>
  </si>
  <si>
    <t>PX (2006) Ilya Muravyov</t>
  </si>
  <si>
    <t>.px</t>
  </si>
  <si>
    <t>.cha</t>
  </si>
  <si>
    <t>.nakamichi</t>
  </si>
  <si>
    <t>Bulgaria</t>
  </si>
  <si>
    <t>Nakamichi Kintaro/GoldenBoy Sanmayce</t>
  </si>
  <si>
    <t>BVI 1.70 -m5 Boris Vilincoff</t>
  </si>
  <si>
    <t>EMILCONT 0.2xx -7 (2005) Berto Destasio</t>
  </si>
  <si>
    <t>EMILCONT 0.3 α -5 (2005) Berto Destasio</t>
  </si>
  <si>
    <t>MAR Melting Pot Archiver (PPM) Xann</t>
  </si>
  <si>
    <t>MSXIE 1.40 Pro Mercury Soft Technology, Inc</t>
  </si>
  <si>
    <t>Pretty Simple Archiver 0.91 Serge Pachkovsky</t>
  </si>
  <si>
    <t>RKC 1.02 -m800m -B64m -mxx -r+ M. Taylor</t>
  </si>
  <si>
    <t>Reasonable Archiver 1.1.0.8 R. Software House Ltd.</t>
  </si>
  <si>
    <t>RKUC 1.04 (RKIVE 2.00) Malcolm Taylor</t>
  </si>
  <si>
    <t>WinRK 2.0.1 (2004) PWCM 1.3 M. Taylor</t>
  </si>
  <si>
    <t>WinRK 3.0.0 β3 (2006) maximum M. Taylor</t>
  </si>
  <si>
    <t>WinRK 3.0.2 (2005) maximum M. Taylor</t>
  </si>
  <si>
    <t>SIXPACK (1991) Philip G. Gage</t>
  </si>
  <si>
    <t>PPMVC 1.1 (2006) -m256 -o16 P. Skibinski</t>
  </si>
  <si>
    <t>PAQ 8p1 (2008) -8 Matt Mahoney et al.</t>
  </si>
  <si>
    <t>PAQ 6ebb Blaster -8 Matt Mahoney et al.</t>
  </si>
  <si>
    <t>STUFFIT 12.0.0.17 (sitx) all filters SmithMicro</t>
  </si>
  <si>
    <t>HPA Compressor 1.8 Hungarian Pirates Alliance</t>
  </si>
  <si>
    <t xml:space="preserve">EMILCONT 0.2 -6 (2004) Berto Destasio </t>
  </si>
  <si>
    <t>BGB-PAQ 0.2 (2005) Brendan G. Bohannon</t>
  </si>
  <si>
    <t>Belon Archiver (1998)</t>
  </si>
  <si>
    <t>PAQ8PXD_v24 Matt Mahoney et al.</t>
  </si>
  <si>
    <t>PAQ8PX_v92 Matt Mahoney et al.</t>
  </si>
  <si>
    <t>PAQ8PXD_v25 Matt Mahoney et al.</t>
  </si>
  <si>
    <t>PAQ8PXD_v25 -s8:2 (2017) Matt Mahoney et al.</t>
  </si>
  <si>
    <t>PAQ8PX_v92 -8 (2017) Matt Mahoney et al.</t>
  </si>
  <si>
    <t>.PAM</t>
  </si>
  <si>
    <t>.PPM</t>
  </si>
  <si>
    <t>PAQ8pxd_v4 (19.04.2012) -7 Matt Mahoney et al.</t>
  </si>
  <si>
    <t>PAQ8PX_v95 -8 (2017) Matt Mahoney et al.</t>
  </si>
  <si>
    <t>PAQ8PX_v97 -8 (2017) Matt Mahoney et al.</t>
  </si>
  <si>
    <t>PAQ8pxd_v18 -s8:2 M. Mahoney et al.</t>
  </si>
  <si>
    <t>1.7.11</t>
  </si>
  <si>
    <t>PAQ8PX_v99 -8 (2017) Matt Mahoney et al.</t>
  </si>
  <si>
    <t>PAQ8PX_v75 -8 (22.03.'16) M. Mahoney, J. Ondrus et al</t>
  </si>
  <si>
    <t>PAQ8PX_v71 -7 (11.03.'16) M. Mahoney, J. Ondrus et al</t>
  </si>
  <si>
    <t>PAQ8PX_v73 -8 (19.03.'16) M. Mahoney, J. Ondrus et al</t>
  </si>
  <si>
    <t>PAQ8PXD_v18 -s8:2 M. Mahoney, K. Orav et al.</t>
  </si>
  <si>
    <t>PAQ8PXD_v16-skbuild -s8:2 M. Mahoney, K. Orav et al.</t>
  </si>
  <si>
    <t>PAQ8PXD_v7 (2013) -8 Matt Mahoney et al.</t>
  </si>
  <si>
    <t>Chameleon -1 (2015) Charles Bloom</t>
  </si>
  <si>
    <t>GLZA 0.9 Kennon Conrad</t>
  </si>
  <si>
    <t>PackRAW 0.2 (09.07.2017) Márcio Pais</t>
  </si>
  <si>
    <t>.zmolly</t>
  </si>
  <si>
    <t>Zmolly 0.1 -b99 (2015) Zhang Li</t>
  </si>
  <si>
    <t>.slimox</t>
  </si>
  <si>
    <t>Slimox -b200 (2013) Zhang Li</t>
  </si>
  <si>
    <t>PAQ8PXD_v28 Matt Mahoney et al.</t>
  </si>
  <si>
    <t>PAQ8PXD_v32 -s8:2 Matt Mahoney et al.</t>
  </si>
  <si>
    <t>PreComp 0.4.5 -intense Christian Schneider</t>
  </si>
  <si>
    <t>FP8_v6 -8 (18.08.2017) Jan Ondrus</t>
  </si>
  <si>
    <t>CCMx 1.30a (7) (2008) Christian Martelock</t>
  </si>
  <si>
    <t>.paq8pxd32</t>
  </si>
  <si>
    <t>.Nakamichi</t>
  </si>
  <si>
    <t>Nakamichi Kaidanji Georgi 'Sanmayce' Marinov</t>
  </si>
  <si>
    <t>uses Deflate/ZLIB</t>
  </si>
  <si>
    <t>PAQ8PX_v104 -8 (2017) Matt Mahoney et al.</t>
  </si>
  <si>
    <t>PAQ8PX_v106 -8 (2017) Matt Mahoney et al.</t>
  </si>
  <si>
    <t>PAQ8PX_v107 -8 (2017) Matt Mahoney et al.</t>
  </si>
  <si>
    <t>GIF/JPEG/PNG/ZLIB Recompression + CM</t>
  </si>
  <si>
    <t>tools slower than 25.000 sec are not tested on this chart.</t>
  </si>
  <si>
    <t>tools faster than 25.000 sec are not tested on this chart.</t>
  </si>
  <si>
    <t>* 16 GB RAM (DDR-3 @ 1600 MHz), SSD (SATA-3)</t>
  </si>
  <si>
    <t>Revision 8.2 (Web Version)</t>
  </si>
  <si>
    <t>practical chart</t>
  </si>
  <si>
    <t>PAQ8PX_v68 -7 (2010) 'Matt Mahoney et al.' *star*</t>
  </si>
  <si>
    <t>PAQ8PXD_v3 -8 (2012) Matt Mahoney et al.</t>
  </si>
  <si>
    <t>PAQ8PX_v87 (2017) -8 Matt Mahoney et al.</t>
  </si>
  <si>
    <t>PAQ8PX_v79 -8 (2017) Matt Mahoney et al.</t>
  </si>
  <si>
    <t>PAQ8PX_v77 -8 (2017) Matt Mahoney et al.</t>
  </si>
  <si>
    <t>PAQ8PX_v74 -8 (2016) Matt Mahoney et al.</t>
  </si>
  <si>
    <t>PAQ8PXD_v6 -9 (2013) Matt Mahoney et al.</t>
  </si>
  <si>
    <t>PAQ8oSSE v2 -8 (2007) Matt Mahoney et al.</t>
  </si>
  <si>
    <t>PAQ8d -8 (2006) (std dict.) Matt Mahoney et al.</t>
  </si>
  <si>
    <t>SLIM 0.21 -w25 (2004) Serge Voskoboynikov</t>
  </si>
  <si>
    <t>CTW 0.1 -n16M -f16M (2002) Frank Willems</t>
  </si>
  <si>
    <t>Contra 0.5 -b9 -r9 -m2 Frank Schwellinger</t>
  </si>
  <si>
    <t>Artificial images</t>
  </si>
  <si>
    <t>Photographs, RGB</t>
  </si>
  <si>
    <t>Photographs, 8-bit Grayscale</t>
  </si>
  <si>
    <t>table 3 of 4</t>
  </si>
  <si>
    <t>table 2 of 4</t>
  </si>
  <si>
    <t>table 1 of 4</t>
  </si>
  <si>
    <t>table 4 of 4</t>
  </si>
  <si>
    <t>textures</t>
  </si>
  <si>
    <t>texture 1</t>
  </si>
  <si>
    <t>texture 2</t>
  </si>
  <si>
    <t>texture 3</t>
  </si>
  <si>
    <t>texture 4</t>
  </si>
  <si>
    <t>texture 5</t>
  </si>
  <si>
    <t>texture 6</t>
  </si>
  <si>
    <t>.DDS</t>
  </si>
  <si>
    <t>.RGB</t>
  </si>
  <si>
    <t>uses RLE</t>
  </si>
  <si>
    <t>uses DXT1</t>
  </si>
  <si>
    <t>uses DXT3</t>
  </si>
  <si>
    <t>uses DXT5</t>
  </si>
  <si>
    <t>uses ASTC</t>
  </si>
  <si>
    <t>uses ETC2</t>
  </si>
  <si>
    <t>￭ 2048x1024, 24 Bit in different encodings</t>
  </si>
  <si>
    <t>￭ source file from Christiano</t>
  </si>
  <si>
    <t>texture 7</t>
  </si>
  <si>
    <t>uses BC7</t>
  </si>
  <si>
    <t>algorithm</t>
  </si>
  <si>
    <t>codec sources</t>
  </si>
  <si>
    <t>.ASTC</t>
  </si>
  <si>
    <t>WinRar 5.50 [x64] (2017) (1 GB dict + Delta) Eugene Roshal</t>
  </si>
  <si>
    <t>ZPAQ 7.15 -method 77 (2016) Matt Mahoney</t>
  </si>
  <si>
    <t>7-ZIP 17.0 [x64] ultra128:fb273:bt4:lc3 yx=9</t>
  </si>
  <si>
    <t>PAQ8PXD_v34 -s8:2 (2017) Matt Mahoney et al.</t>
  </si>
  <si>
    <t>PAQ8PX_v111 -8 (2017) Matt Mahoney et al.</t>
  </si>
  <si>
    <t>RAZOR Archiver 1.00 -d 1023m (2017) Christian Martelock</t>
  </si>
  <si>
    <t>EMMA 0.1.24 x64 preset 'best' (28.07.2017) Márcio Pais</t>
  </si>
  <si>
    <t>EMMA 0.1.4 fast 256MB o9 5 Models low Márcio Pais</t>
  </si>
  <si>
    <t>EMMA 0.1.4 fast 256MB Audio 32MB high Márcio Pais</t>
  </si>
  <si>
    <t>EMMA 0.1.13 [x64] preset 'images (slow)' Márcio Pais</t>
  </si>
  <si>
    <t>EMMA 0.1.22 [x64] preset 'images (slow)' Márcio Pais</t>
  </si>
  <si>
    <t>EMMA 0.1.21 [x64] preset 'images (slow)' Márcio Pais</t>
  </si>
  <si>
    <t>EMMA 0.1.12 [x64] preset 'images (slow)' Márcio Pais</t>
  </si>
  <si>
    <t>EMMA 0.1.10 [x64] preset 'images (slow)' Márcio Pais</t>
  </si>
  <si>
    <t>EMMA 0.1.6 [x64] preset 'images (slow)' Márcio Pais</t>
  </si>
  <si>
    <t>EMMA 0.1.4 fast 256MB o9 Image 80MB high Márcio Pais</t>
  </si>
  <si>
    <t>EMMA 0.1.21 [x64] preset 'images (slow)' Márcio Pais (input=pnm)</t>
  </si>
  <si>
    <t>EMMA 0.1.13 [x64] preset 'images (slow)' Márcio Pais (input=pnm)</t>
  </si>
  <si>
    <t>EMMA 0.1.12 [x64] preset 'images (slow)' Márcio Pais (input=pnm)</t>
  </si>
  <si>
    <t>EMMA 0.1.6 [x64] preset 'images (slow)' Márcio Pais (input=ppm)</t>
  </si>
  <si>
    <t>EMMA 0.1.10 [x64] preset 'images (slow)' Márcio Pais (input=pnm)</t>
  </si>
  <si>
    <t>EMMA 0.1.4 fast 256MB o9 Image 80MB high Márcio Pais (input=ppm)</t>
  </si>
  <si>
    <t>EMMA 0.1.22 [x64] preset 'executables (max)' Márcio Pais</t>
  </si>
  <si>
    <t>EMMA 0.1.6 [x64] preset 'audio (slow)' Márcio Pais</t>
  </si>
  <si>
    <t>EMMA 0.1.24 (preset best) Márcio Pais</t>
  </si>
  <si>
    <t>EMMA 0.1.21 (preset best) Márcio Pais</t>
  </si>
  <si>
    <t>EMMA 0.1.18 (preset best) Márcio Pais</t>
  </si>
  <si>
    <t>EMMA 0.1.13 (preset best) Márcio Pais</t>
  </si>
  <si>
    <t>EMMA 0.1.7 (see comments) Márcio Pais</t>
  </si>
  <si>
    <t>EMMA 0.1.6 (see comments) Márcio Pais</t>
  </si>
  <si>
    <t>EMMA 0.1.6 fast 1024MB o9 Márcio Pais</t>
  </si>
  <si>
    <t>EMMA 0.1.3 fast 256MB o9 Márcio Pais</t>
  </si>
  <si>
    <t>EMMA 0.1.1 fast 256MB o9 Márcio Pais</t>
  </si>
  <si>
    <t>Dedup + ROLZ + filter</t>
  </si>
  <si>
    <t>PowerArchiver 17.00.92 .pa opt. strong extreme ConeXware Inc.</t>
  </si>
  <si>
    <t>PowerArchiver 17.00.92 .pa opt. strong extreme</t>
  </si>
  <si>
    <t>WinRK 3.1.2 (ROLZ2) (2006) Malcolm Taylor</t>
  </si>
  <si>
    <t>FLASHZIP 1.1.3 -r -s -mx3 -k7 -b1024 (2013)</t>
  </si>
  <si>
    <t>FLASHZIP 1.1.0 -r -s -mx3 -k7 -b1024 (2012)</t>
  </si>
  <si>
    <t>PPMonstr ver I -o16 -m800 (2002) D. Shkarin</t>
  </si>
  <si>
    <t>BCM 0.14 c1000 (2013) Ilya Muravyov</t>
  </si>
  <si>
    <t>M03 0.2 α 250 MB (2009) M. A. Maniscalco</t>
  </si>
  <si>
    <t>CSC 3.2 final -m3 -d512 -r (2011) Siyuan Fu</t>
  </si>
  <si>
    <t>UHBC 1.0 -b128m -m3 (2003) Uwe Herklotz</t>
  </si>
  <si>
    <t>M03 32 MB (2005) Michael A. Maniscalco</t>
  </si>
  <si>
    <t>LZMA SDK 9.20 -d27 -fb273 (2010) Igor Pavlov</t>
  </si>
  <si>
    <t>UHARC 0.2 -m3 -md2048 -mm+ (1997) Uwe Herklotz</t>
  </si>
  <si>
    <t>M03 8 MB (2005) Michael A. Maniscalco</t>
  </si>
  <si>
    <t>ABC 2.4 -c (2003) Jürgen Abel</t>
  </si>
  <si>
    <t>WinArchiver 3.7 .MZP best (2014)</t>
  </si>
  <si>
    <t>WinArchiver 3.1 .MZP best (2013)</t>
  </si>
  <si>
    <t>HOOK 1.4 912 MB ('09) Francesco Nania</t>
  </si>
  <si>
    <t>QC 0.50 e -8 (2006) Denis Kyznetsov</t>
  </si>
  <si>
    <t>LZPM 0.11 -9 (2007) Ilya Muravyov</t>
  </si>
  <si>
    <t>TarsaLZP Interim (2007) Piotr Tarsa</t>
  </si>
  <si>
    <t>ECP 0.e.s. -b127 (2000) Michael Semikov</t>
  </si>
  <si>
    <t>Chile 0.3d -c -v=2 -b=2048 (2005)</t>
  </si>
  <si>
    <t>BROTLI -q 9 (2015 09) Google Inc.</t>
  </si>
  <si>
    <t>BZIP2 1.06 --best (2010) Julian Seward</t>
  </si>
  <si>
    <t>Zip-Ada 50 -ed3 -r (2016) G. de Montmollin</t>
  </si>
  <si>
    <t>LZOP 1.02RC1w -9 (2005) Oberhumer</t>
  </si>
  <si>
    <t>ULZ 0.2 c3 (normal) (2010) Ilya Muravyov</t>
  </si>
  <si>
    <t>NOAH's ARChiver 1.1 (1990) Richard Levey</t>
  </si>
  <si>
    <t>ELI 5750 -a -C (1997) Jule Revsin</t>
  </si>
  <si>
    <t>Zip-Ada 50 -er4 -r (2016) G. de Montmollin</t>
  </si>
  <si>
    <t>SREEP 1.2 c1,,13 (2015) Xezz</t>
  </si>
  <si>
    <t>COMP-2a -o 7 (1990) Mark R. Nelson</t>
  </si>
  <si>
    <t>THOR 0.96α e1 (2007) Oscar Garcia</t>
  </si>
  <si>
    <t>BigCrunch 0.4 RC1 -mx (2006)</t>
  </si>
  <si>
    <t>SPLINT 2.1 -e (1989) Rikitake / Wakatabe</t>
  </si>
  <si>
    <t>EMMA 0.1.24 [x64] preset 'best' (28.07.2017) Márcio Pais</t>
  </si>
  <si>
    <t>EMMA 0.1.24.1 [x64] preset 'image (slow)' (2017) Márcio Pais</t>
  </si>
  <si>
    <t>EMMA 0.1.6 [x64] fast 128MB (see comments) Márcio Pais</t>
  </si>
  <si>
    <t>ZSTD 0.8.1 [x64] -22 --ultra (2016) Yann Collet</t>
  </si>
  <si>
    <t>ZSTD 0.3.4 [x64] -20 (2015) Yann Collet</t>
  </si>
  <si>
    <t>WinRar 5.50 [x64] -m5 -md1g (2017) Eugene Roshal</t>
  </si>
  <si>
    <t>EMMA 0.1.9 [x64] preset 'best' Márcio Pais</t>
  </si>
  <si>
    <t>EMMA 0.1.9 [x64] preset 'audio (max)' Márcio Pais</t>
  </si>
  <si>
    <t>EMMA 0.1.7 [x64] 'images (slow)'+sparse+record Márcio Pais</t>
  </si>
  <si>
    <t>EMMA 0.1.9 [x64] 'images (slow)'+sparse+record' Márcio Pais</t>
  </si>
  <si>
    <t>EMMA 0.1.23 [x64] 'images (slow) Márcio Pais</t>
  </si>
  <si>
    <t>EMMA 0.1.11 [x64] preset 'images (slow)' Márcio Pais</t>
  </si>
  <si>
    <t>EMMA 0.1.8 [x64] preset 'images (slow)' Márcio Pais</t>
  </si>
  <si>
    <t>EMMA 0.1.17 [x64] preset 'images (slow)' Márcio Pais</t>
  </si>
  <si>
    <t>EMMA 0.1.6 [x64] ludicrous 1GB (see comments) Márcio Pais</t>
  </si>
  <si>
    <t>ZSTD 1.2.0 [x64] -22 --ultra (2017) Yann Collet</t>
  </si>
  <si>
    <t>EMMA 0.1.9 [x64] preset 'images (slow)' Márcio Pais</t>
  </si>
  <si>
    <t>EMMA 0.1.7 [x64] preset 'images (slow)' Márcio Pais</t>
  </si>
  <si>
    <t>EMMA 0.1.6 [x64] fast 128MB (JPEG model high) Márcio Pais</t>
  </si>
  <si>
    <t>EMMA 0.1.6 [x64] fast (GIF model high) Márcio Pais</t>
  </si>
  <si>
    <t>WinRar 5.50 [x64] -m5 -md1g -r -s (2017) Eugene Roshal</t>
  </si>
  <si>
    <t>EMMA 0.1.24 [x64] 'audio (max)' (28.07.2017) Márcio Pais</t>
  </si>
  <si>
    <t>EMMA 0.1.9 [x64] 256MB o9 sparse+record high Márcio Pais</t>
  </si>
  <si>
    <t>EMMA 0.1.24 [x64] preset 'exec. (max)' (28.07.2017) Márcio Pais</t>
  </si>
  <si>
    <t>OptimFrog 5.100 [x64] --preset 10 (02.09.'16) Florin Ghido</t>
  </si>
  <si>
    <t>OptimFrog 5.100 [x64] --preset 9 (02.09.'16) Florin Ghido</t>
  </si>
  <si>
    <t>Canabalt</t>
  </si>
  <si>
    <t>MarineAquarium</t>
  </si>
  <si>
    <t>3.3</t>
  </si>
  <si>
    <t xml:space="preserve">   original size</t>
  </si>
  <si>
    <t>MPC-HC</t>
  </si>
  <si>
    <t>CHC 1.0 C,1,256,128 (2017) Xezz</t>
  </si>
  <si>
    <t>.chc</t>
  </si>
  <si>
    <t>BCM 1.25 -b1024m (2016) Ilya Muravyov</t>
  </si>
  <si>
    <t>LZCB28 (1998) Charles Bloom</t>
  </si>
  <si>
    <t>LZCB45 (1998) Charles Bloom</t>
  </si>
  <si>
    <t>.lzcb</t>
  </si>
  <si>
    <t>freezes forever</t>
  </si>
  <si>
    <t>QazaR 0.0 pre 5 -d9 -x7 -l7 Denis Kyznetsov</t>
  </si>
  <si>
    <t>PIMPLE 1.43 extreme (2006) Ilya Muravyov</t>
  </si>
  <si>
    <t>LZCB20 7.2 (1998) Charles Bloom</t>
  </si>
  <si>
    <t>X1 0.95 β (aum4l3d9) (1997) Stig Valentini</t>
  </si>
  <si>
    <t>LZCB40 (1998) Charles Bloom</t>
  </si>
  <si>
    <t>LZCB42 (1998) Charles Bloom</t>
  </si>
  <si>
    <t>LZCBFAST (1998) Charles Bloom</t>
  </si>
  <si>
    <t xml:space="preserve">   → proceed to table 1: artificial</t>
  </si>
  <si>
    <t xml:space="preserve">   → proceed to table 2: Photographs, RGB</t>
  </si>
  <si>
    <t xml:space="preserve">   → proceed to table 3: Photographs, 8-bit Grayscale</t>
  </si>
  <si>
    <t xml:space="preserve">   → proceed to table 4: textures</t>
  </si>
  <si>
    <t xml:space="preserve">   → proceed to topic: Image Formats (Camera Raw)</t>
  </si>
  <si>
    <t xml:space="preserve">   → proceed to topic: Documents</t>
  </si>
  <si>
    <t xml:space="preserve">   → proceed to topic: Image Formats (web)</t>
  </si>
  <si>
    <t xml:space="preserve">   → proceed to topic: interactive files</t>
  </si>
  <si>
    <t xml:space="preserve">   → proceed to topic: Installers</t>
  </si>
  <si>
    <t xml:space="preserve">   → proceed to topic: Songs (Tracker Modules)</t>
  </si>
  <si>
    <t xml:space="preserve">   → proceed to topic: Songs (web)</t>
  </si>
  <si>
    <t xml:space="preserve">   → proceed to topic: Videos (web)</t>
  </si>
  <si>
    <t xml:space="preserve">   → proceed to topic: Scientific Data</t>
  </si>
  <si>
    <t xml:space="preserve">   → proceed to table 1: PCM, 2ch, 16 Bit @ 44.1kHz, 1411.2 kbps</t>
  </si>
  <si>
    <t xml:space="preserve">   → proceed to table 2: PCM, 2ch, 24 Bit @ 96kHz, 4608 kbps</t>
  </si>
  <si>
    <t>RAZOR Archiver 1.00 Christian Martelock</t>
  </si>
  <si>
    <t>-d 1023m</t>
  </si>
  <si>
    <t>FP8 v3 (2012) Jan Ondrus</t>
  </si>
  <si>
    <t>Durilca 0.5 (Hutter) Dmitry Shkarin</t>
  </si>
  <si>
    <t>PAQAR 4 (2004) Matt Mahoney et al.</t>
  </si>
  <si>
    <t>PAQ8d (std dict.) Matt Mahoney et al.</t>
  </si>
  <si>
    <t>PAQ8i (std dict.) Matt Mahoney et al.</t>
  </si>
  <si>
    <t>NanoZip 0.09 (2011) Sami Runsas</t>
  </si>
  <si>
    <t>NanoZip 0.09 -cc -m2g (2011) Sami Runsas</t>
  </si>
  <si>
    <t>ASH 0.7 Eugene Shelwien</t>
  </si>
  <si>
    <t>Compressia 1.0b Yaakov Gringeler</t>
  </si>
  <si>
    <t>SLIM 0.23d Serge Voskoboynikov</t>
  </si>
  <si>
    <t>ABC 2.4 (2003) Jürgen Abel</t>
  </si>
  <si>
    <t>CTW 0.1 (2002) Frank Willems</t>
  </si>
  <si>
    <t>SBC 0.970r3 Sami Makinen</t>
  </si>
  <si>
    <t>UHARC 0.6b Uwe Herklotz</t>
  </si>
  <si>
    <t>BioArchiver 1.9 Merlin+ Ltd</t>
  </si>
  <si>
    <t>Quark 0.93 (2005) Frederic Bautista</t>
  </si>
  <si>
    <t>Quark 0.96r (2011) Frederic Bautista</t>
  </si>
  <si>
    <t>ZZIP 0.36 Damien Debin</t>
  </si>
  <si>
    <t>HA 0.999b (1995) Harri Hirvola</t>
  </si>
  <si>
    <t>XTREME 1.06 (1999) B. Sabin</t>
  </si>
  <si>
    <t>LHA 2.55 - 2.67 (1992)</t>
  </si>
  <si>
    <t>BSSC 0.95α Sergeo Sizikov</t>
  </si>
  <si>
    <t>OCAMYD 1.65 Final Frank Schwellinger</t>
  </si>
  <si>
    <t>best asy. ROLZ-3+PPM</t>
  </si>
  <si>
    <t>-22 --ultra</t>
  </si>
  <si>
    <t>ZSTD 1.3.1 (2017) Yann Collet</t>
  </si>
  <si>
    <t>RINGS 2.5 (2015) Francesco Nania</t>
  </si>
  <si>
    <t>-s -r -m8</t>
  </si>
  <si>
    <t>BMZFP 1.1 (2014) Xezz</t>
  </si>
  <si>
    <t>c330m</t>
  </si>
  <si>
    <t>COMPROLZ 0.10.0 Zhang Li</t>
  </si>
  <si>
    <t>-b250</t>
  </si>
  <si>
    <t>BCM 1.25 (2016) Ilya Muravyov</t>
  </si>
  <si>
    <t>-b1024m</t>
  </si>
  <si>
    <t>BALZ 1.20 (2015) Ilya Muravyov</t>
  </si>
  <si>
    <t>mode cx</t>
  </si>
  <si>
    <t>BWMonstr 0.02 (2009) Sami Runsas</t>
  </si>
  <si>
    <t>Distance Coder 1.24 Edgar Binder</t>
  </si>
  <si>
    <t>BWCM (2013) Nauful</t>
  </si>
  <si>
    <t>c128</t>
  </si>
  <si>
    <t>CSC 3.2 final (2011) Siyuan Fu</t>
  </si>
  <si>
    <t>-m3 -d512</t>
  </si>
  <si>
    <t>LZHAM 1.1 Rich Geldreich, Jr.</t>
  </si>
  <si>
    <t>-ab16300mt5</t>
  </si>
  <si>
    <t>OCAMYD 1.66 final Frank Schwellinger</t>
  </si>
  <si>
    <t>-ma=2 -md=1g -mds=64k -mfb=254 -mx9 -mlc=2 -mlp=0 -mpb=0 -mmt=off</t>
  </si>
  <si>
    <t>Radyx 0.91 Conor McCarthy (LZMA2+Radix)</t>
  </si>
  <si>
    <t>-m4 -d29 -e -o -x8 -t0</t>
  </si>
  <si>
    <t>-co -m2g</t>
  </si>
  <si>
    <t>-cc -m2g</t>
  </si>
  <si>
    <t>EPM r9 (2003) Serge Osnach</t>
  </si>
  <si>
    <t>.epm</t>
  </si>
  <si>
    <t>-M128m -B64m -T32768 -mf -ft -ts+</t>
  </si>
  <si>
    <t>RKC 1.02 (2003) Malcolm Taylor [ROLZ]</t>
  </si>
  <si>
    <t>RKC 1.02 (2003) Malcolm Taylor [PPMd]</t>
  </si>
  <si>
    <t>-M128m -B64m -mxx -o64 -ft -ts+</t>
  </si>
  <si>
    <r>
      <t xml:space="preserve">grey colored programs </t>
    </r>
    <r>
      <rPr>
        <sz val="12"/>
        <rFont val="Futura Lt BT"/>
        <family val="2"/>
      </rPr>
      <t>are 16 bit MS-DOS compiles that were run on DosBox 0.74 Emulator as native 64 bit Windows cannot run them anymore.</t>
    </r>
  </si>
  <si>
    <r>
      <t xml:space="preserve">GUI </t>
    </r>
    <r>
      <rPr>
        <sz val="12"/>
        <rFont val="Futura Lt BT"/>
        <family val="2"/>
      </rPr>
      <t xml:space="preserve">means that this program has a graphical user interface; </t>
    </r>
    <r>
      <rPr>
        <sz val="12"/>
        <color rgb="FFFF0000"/>
        <rFont val="Futura Lt BT"/>
        <family val="2"/>
      </rPr>
      <t>◦</t>
    </r>
    <r>
      <rPr>
        <sz val="12"/>
        <rFont val="Futura Lt BT"/>
        <family val="2"/>
      </rPr>
      <t xml:space="preserve"> means it doesn't have a graphical user interface.</t>
    </r>
  </si>
  <si>
    <r>
      <rPr>
        <sz val="11"/>
        <color rgb="FF008000"/>
        <rFont val="Futura Lt BT"/>
        <family val="2"/>
      </rPr>
      <t>☺</t>
    </r>
    <r>
      <rPr>
        <sz val="11"/>
        <rFont val="Futura Lt BT"/>
        <family val="2"/>
      </rPr>
      <t xml:space="preserve"> this symbol means that source codes for that codec is available.</t>
    </r>
  </si>
  <si>
    <r>
      <rPr>
        <sz val="12"/>
        <color rgb="FF7030A0"/>
        <rFont val="Futura Lt BT"/>
        <family val="2"/>
      </rPr>
      <t>lilac colored results</t>
    </r>
    <r>
      <rPr>
        <sz val="12"/>
        <rFont val="Futura Lt BT"/>
        <family val="2"/>
      </rPr>
      <t xml:space="preserve"> in the row of 7-Zip, UHARC and Squeez mean that PPM was used for this testset.</t>
    </r>
  </si>
  <si>
    <r>
      <rPr>
        <sz val="12"/>
        <color rgb="FF0000FF"/>
        <rFont val="Futura Lt BT"/>
        <family val="2"/>
      </rPr>
      <t>blue colored result</t>
    </r>
    <r>
      <rPr>
        <sz val="12"/>
        <rFont val="Futura Lt BT"/>
        <family val="2"/>
      </rPr>
      <t>s mean that the archive content cannot be restored losslessly.</t>
    </r>
  </si>
  <si>
    <r>
      <rPr>
        <sz val="12"/>
        <rFont val="Futura Lt BT"/>
        <family val="2"/>
      </rPr>
      <t xml:space="preserve">                    •</t>
    </r>
    <r>
      <rPr>
        <sz val="12"/>
        <color theme="0" tint="-0.499984740745262"/>
        <rFont val="Futura Lt BT"/>
        <family val="2"/>
      </rPr>
      <t xml:space="preserve"> grey colored programs </t>
    </r>
    <r>
      <rPr>
        <sz val="12"/>
        <rFont val="Futura Lt BT"/>
        <family val="2"/>
      </rPr>
      <t>are 16 bit MS-DOS compiles that were run on DosBox 0.74 Emulator as native 64 bit Windows cannot run them anymore.</t>
    </r>
  </si>
  <si>
    <r>
      <t xml:space="preserve">                    </t>
    </r>
    <r>
      <rPr>
        <sz val="12"/>
        <rFont val="Futura Lt BT"/>
        <family val="2"/>
      </rPr>
      <t>•</t>
    </r>
    <r>
      <rPr>
        <sz val="12"/>
        <color rgb="FFFF0000"/>
        <rFont val="Futura Lt BT"/>
        <family val="2"/>
      </rPr>
      <t xml:space="preserve"> ☺</t>
    </r>
    <r>
      <rPr>
        <sz val="12"/>
        <color theme="0" tint="-0.499984740745262"/>
        <rFont val="Futura Lt BT"/>
        <family val="2"/>
      </rPr>
      <t xml:space="preserve"> </t>
    </r>
    <r>
      <rPr>
        <sz val="12"/>
        <rFont val="Futura Lt BT"/>
        <family val="2"/>
      </rPr>
      <t>this symbol means that source codes for that codec is available.</t>
    </r>
  </si>
  <si>
    <r>
      <t xml:space="preserve">                    • </t>
    </r>
    <r>
      <rPr>
        <sz val="12"/>
        <color rgb="FFFF0000"/>
        <rFont val="Futura Lt BT"/>
        <family val="2"/>
      </rPr>
      <t>red colored results</t>
    </r>
    <r>
      <rPr>
        <sz val="12"/>
        <rFont val="Futura Lt BT"/>
        <family val="2"/>
      </rPr>
      <t xml:space="preserve"> mean that the input file cannot be restored bitwise identical.</t>
    </r>
  </si>
  <si>
    <r>
      <rPr>
        <sz val="11"/>
        <color rgb="FFFF0000"/>
        <rFont val="Futura Lt BT"/>
        <family val="2"/>
      </rPr>
      <t>☺</t>
    </r>
    <r>
      <rPr>
        <sz val="11"/>
        <rFont val="Futura Lt BT"/>
        <family val="2"/>
      </rPr>
      <t xml:space="preserve"> this symbol means that source codes for that codec is available.</t>
    </r>
  </si>
  <si>
    <t xml:space="preserve">                    • TSIPcoder using -method HXC2 is designed for images with 10.000 or less colors. It was not tested on the files above.</t>
  </si>
  <si>
    <t xml:space="preserve">                    • for ISA Compress and CoBALP, Windows XP emulator (VMLite + Microsoft's free WindowsXPMode.exe)  was used.</t>
  </si>
  <si>
    <r>
      <t xml:space="preserve">                    </t>
    </r>
    <r>
      <rPr>
        <sz val="12"/>
        <rFont val="Futura Lt BT"/>
        <family val="2"/>
      </rPr>
      <t>•</t>
    </r>
    <r>
      <rPr>
        <sz val="12"/>
        <color theme="0" tint="-0.499984740745262"/>
        <rFont val="Futura Lt BT"/>
        <family val="2"/>
      </rPr>
      <t xml:space="preserve"> </t>
    </r>
    <r>
      <rPr>
        <sz val="12"/>
        <color rgb="FFFF0000"/>
        <rFont val="Futura Lt BT"/>
        <family val="2"/>
      </rPr>
      <t>☺</t>
    </r>
    <r>
      <rPr>
        <sz val="12"/>
        <color theme="0" tint="-0.499984740745262"/>
        <rFont val="Futura Lt BT"/>
        <family val="2"/>
      </rPr>
      <t xml:space="preserve"> </t>
    </r>
    <r>
      <rPr>
        <sz val="12"/>
        <rFont val="Futura Lt BT"/>
        <family val="2"/>
      </rPr>
      <t>this symbol means that source codes for that codec is available.</t>
    </r>
  </si>
  <si>
    <t xml:space="preserve">                    • tags had to be removed to make input readable for all codecs.</t>
  </si>
  <si>
    <t>-O8 -M:50 -MT1</t>
  </si>
  <si>
    <t>PPMT 0.1 (2003) Andrew Frolov</t>
  </si>
  <si>
    <t>runs forever</t>
  </si>
  <si>
    <t>much too slow</t>
  </si>
  <si>
    <t>ERI 5.1fre A. Rhatushnyak</t>
  </si>
  <si>
    <t>-m5</t>
  </si>
  <si>
    <t>does not work</t>
  </si>
  <si>
    <t>PPMZ2 0.81 (2004) Charles Bloom</t>
  </si>
  <si>
    <t>c01286014321245957352513 -m512</t>
  </si>
  <si>
    <t>c11196015671258976552513</t>
  </si>
  <si>
    <t>XWRT + RAZOR Archiver 1.00 Christian Martelock</t>
  </si>
  <si>
    <t>WinRK 3.1.2 (2006) Malcolm Taylor</t>
  </si>
  <si>
    <t>NanoZip 0.08 -cc -m2g (2010) Sami Runsas</t>
  </si>
  <si>
    <t>NanoZip 0.05 -cc -m1.2g (2008) Sami Runsas</t>
  </si>
  <si>
    <t>NanoZip 0.07 -cc -m2g (2009) Sami Runsas</t>
  </si>
  <si>
    <t>yellow bold entry</t>
  </si>
  <si>
    <t>means that this program is yearly winner (better than all yearly winners before and better than all other programs from the same year)</t>
  </si>
  <si>
    <t>BWT, Lepton, LZMA/II, packMP3, PLZMA4, PPMd_sh, Reflate, ZSTD + filter</t>
  </si>
  <si>
    <t>Dedup./REP + DICT + LZP + LZMA, PPMd, GRZip + MM/TTA, ZSTD + filter</t>
  </si>
  <si>
    <t>Dedup./REP + DICT + LZP + LZMA, PPMd, GRZip + MM/TTA + filter</t>
  </si>
  <si>
    <t>decoding error</t>
  </si>
  <si>
    <t>LZP / ALZ / PPM</t>
  </si>
  <si>
    <t>Dedup. + BZIP2 / LZMA / PPMd / packJPG + filter</t>
  </si>
  <si>
    <t>FreeARC 0.67 + BMF 2.01 / LZMA / OFR 4.910b / Precomp 0.4.6 / Reflate / ZSTD 0.8</t>
  </si>
  <si>
    <t>FreeARC 0.67 + BMF 2.01 / XZ / OFR 4.910b / Precomp 0.4.6 / Reflate / ZSTD 0.8</t>
  </si>
  <si>
    <t>LZP + BWT + libdifsufsort + QLFC + CM + filter</t>
  </si>
  <si>
    <t>CSC 3.2, LIBBSC 3.1.0, LZHAM 1.1, LZMA/II, MCM 0.83, packMP3, PPMd + delta</t>
  </si>
  <si>
    <t>BZIP2, CSC 3.2, Deflate64, LIBBSC 3.1.0, LZMA/II, packMP3, PPMd + delta</t>
  </si>
  <si>
    <t>crash - wait for fix</t>
  </si>
  <si>
    <t>EMMA 0.1.25 (preset best) Márcio Pais</t>
  </si>
  <si>
    <t>PAQ8PX_v112 -8 (2017) Matt Mahoney et al.</t>
  </si>
  <si>
    <t>EMMA 0.1.25 (preset 'image (slow)' 2017 Márcio Pais</t>
  </si>
  <si>
    <t>PAQ8PX_v113 -8 (2017) Matt Mahoney et al.</t>
  </si>
  <si>
    <t>PowerArchiver 17.01.04 .pa opt. strong extreme</t>
  </si>
  <si>
    <t>ZSTD 1.3.2 --ultra -22 --zstd=wlog=31,clog=30,hlog=30 Yann Collet</t>
  </si>
  <si>
    <t>aPack (2009) aPLib Jørgen Ibsen</t>
  </si>
  <si>
    <t>exception</t>
  </si>
  <si>
    <t>file open failed</t>
  </si>
  <si>
    <t>PAQ8PX_v114 -8 (2017) Matt Mahoney et al.</t>
  </si>
  <si>
    <t>CMV 0.2.0 -m1,3,+ (2017) Mauro Vezzosi</t>
  </si>
  <si>
    <t>PAQ8PX_v116 -8 (2017) Matt Mahoney et al.</t>
  </si>
  <si>
    <t>37.wav 16-bit m/st</t>
  </si>
  <si>
    <t>47.wav 16-bit m/st</t>
  </si>
  <si>
    <t>MPTM (OpenMPT Module)</t>
  </si>
  <si>
    <t>IT (Impulse Tracker Module)</t>
  </si>
  <si>
    <t>102.wav 8/16-bit m</t>
  </si>
  <si>
    <t>XM (Fast Tracker Module)</t>
  </si>
  <si>
    <t>PAQ8PX_v119 -8 (2017) Matt Mahoney et al.</t>
  </si>
  <si>
    <t>PAQ8PX_v120 -8 (2017) Matt Mahoney et al.</t>
  </si>
  <si>
    <t>RAZOR Archiver 1.01 -d 1023m Christian Martelock</t>
  </si>
  <si>
    <t>Hubble CCD</t>
  </si>
  <si>
    <t>win 64 Bit executable</t>
  </si>
  <si>
    <t>win 32 Bit executable</t>
  </si>
  <si>
    <t>7-ZIP 17.02 ultra128:fb273:bt4:lc3 yx=9</t>
  </si>
  <si>
    <t>7-ZIP 17.02 ultra128:fb273:bt4:lc4:yx9</t>
  </si>
  <si>
    <t>7-Zip 17.02 [x64] (0=delta:4 1=lzma2) Igor Pavlov</t>
  </si>
  <si>
    <t>7-Zip 17.02 [x64] (0=delta:6 1=lzma2) Igor Pavlov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</si>
</sst>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1">
    <numFmt numFmtId="164" formatCode="_-* #,##0.00\ [$€-1]_-;\-* #,##0.00\ [$€-1]_-;_-* \-??\ [$€-1]_-"/>
    <numFmt numFmtId="165" formatCode="m/d/yy\ h:mm\ AM/PM;@"/>
    <numFmt numFmtId="166" formatCode="0.00000"/>
    <numFmt numFmtId="167" formatCode="0.0000"/>
    <numFmt numFmtId="168" formatCode="0.0000%"/>
    <numFmt numFmtId="169" formatCode="#,##0.0"/>
    <numFmt numFmtId="170" formatCode="0.000"/>
    <numFmt numFmtId="171" formatCode="0.000000"/>
    <numFmt numFmtId="172" formatCode="[$-409]d\-mmm\-yyyy;@"/>
    <numFmt numFmtId="173" formatCode="#,##0.000"/>
    <numFmt numFmtId="174" formatCode="mmm\ dd\ yyyy\ \-\ h:mm\ AM/PM;@"/>
  </numFmts>
  <fonts count="153" x14ac:knownFonts="1">
    <font>
      <sz val="11"/>
      <color theme="1"/>
      <name val="Calibri"/>
      <family val="2"/>
      <scheme val="minor"/>
    </font>
    <font>
      <sz val="11"/>
      <color theme="1"/>
      <name val="Futura Lt BT"/>
      <family val="2"/>
    </font>
    <font>
      <sz val="11"/>
      <color theme="1"/>
      <name val="Futura Lt BT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u/>
      <sz val="10"/>
      <color indexed="12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u/>
      <sz val="11"/>
      <color theme="10"/>
      <name val="Calibri"/>
      <family val="2"/>
    </font>
    <font>
      <b/>
      <sz val="9"/>
      <color indexed="81"/>
      <name val="Segoe UI"/>
      <family val="2"/>
    </font>
    <font>
      <sz val="8"/>
      <name val="Futura Lt BT"/>
      <family val="2"/>
    </font>
    <font>
      <b/>
      <sz val="8"/>
      <name val="Futura Lt BT"/>
      <family val="2"/>
    </font>
    <font>
      <b/>
      <sz val="8"/>
      <color indexed="8"/>
      <name val="Futura Lt BT"/>
      <family val="2"/>
    </font>
    <font>
      <sz val="9"/>
      <name val="Futura Lt BT"/>
      <family val="2"/>
    </font>
    <font>
      <b/>
      <sz val="9"/>
      <color indexed="8"/>
      <name val="Futura Lt BT"/>
      <family val="2"/>
    </font>
    <font>
      <b/>
      <sz val="14"/>
      <color indexed="10"/>
      <name val="Futura Lt BT"/>
      <family val="2"/>
    </font>
    <font>
      <sz val="10"/>
      <name val="Futura Lt BT"/>
      <family val="2"/>
    </font>
    <font>
      <u/>
      <sz val="10"/>
      <color rgb="FF0000FF"/>
      <name val="Futura Lt BT"/>
      <family val="2"/>
    </font>
    <font>
      <sz val="14"/>
      <color indexed="53"/>
      <name val="Futura Lt BT"/>
      <family val="2"/>
    </font>
    <font>
      <sz val="72"/>
      <color rgb="FFF4910C"/>
      <name val="Futura Lt BT"/>
      <family val="2"/>
    </font>
    <font>
      <u/>
      <sz val="10"/>
      <color indexed="12"/>
      <name val="Futura Lt BT"/>
      <family val="2"/>
    </font>
    <font>
      <i/>
      <sz val="9"/>
      <color rgb="FFC00000"/>
      <name val="Futura Lt BT"/>
      <family val="2"/>
    </font>
    <font>
      <b/>
      <sz val="10"/>
      <color indexed="10"/>
      <name val="Futura Lt BT"/>
      <family val="2"/>
    </font>
    <font>
      <sz val="6"/>
      <name val="Futura Lt BT"/>
      <family val="2"/>
    </font>
    <font>
      <i/>
      <sz val="10"/>
      <color rgb="FFC00000"/>
      <name val="Futura Lt BT"/>
      <family val="2"/>
    </font>
    <font>
      <sz val="10"/>
      <color indexed="10"/>
      <name val="Futura Lt BT"/>
      <family val="2"/>
    </font>
    <font>
      <sz val="22"/>
      <name val="Futura Lt BT"/>
      <family val="2"/>
    </font>
    <font>
      <sz val="22"/>
      <color theme="1"/>
      <name val="Futura Lt BT"/>
      <family val="2"/>
    </font>
    <font>
      <i/>
      <sz val="10"/>
      <color indexed="60"/>
      <name val="Futura Lt BT"/>
      <family val="2"/>
    </font>
    <font>
      <sz val="8"/>
      <color theme="0"/>
      <name val="Futura Lt BT"/>
      <family val="2"/>
    </font>
    <font>
      <u/>
      <sz val="8"/>
      <color indexed="12"/>
      <name val="Futura Lt BT"/>
      <family val="2"/>
    </font>
    <font>
      <b/>
      <sz val="14"/>
      <name val="Futura Lt BT"/>
      <family val="2"/>
    </font>
    <font>
      <b/>
      <sz val="10"/>
      <color indexed="8"/>
      <name val="Futura Lt BT"/>
      <family val="2"/>
    </font>
    <font>
      <b/>
      <sz val="12"/>
      <color indexed="8"/>
      <name val="Futura Lt BT"/>
      <family val="2"/>
    </font>
    <font>
      <b/>
      <sz val="10"/>
      <name val="Futura Lt BT"/>
      <family val="2"/>
    </font>
    <font>
      <sz val="8"/>
      <color theme="1"/>
      <name val="Futura Lt BT"/>
      <family val="2"/>
    </font>
    <font>
      <sz val="10"/>
      <color theme="0" tint="-0.499984740745262"/>
      <name val="Futura Lt BT"/>
      <family val="2"/>
    </font>
    <font>
      <sz val="10"/>
      <color indexed="8"/>
      <name val="Futura Lt BT"/>
      <family val="2"/>
    </font>
    <font>
      <sz val="10"/>
      <color theme="0" tint="-0.249977111117893"/>
      <name val="Futura Lt BT"/>
      <family val="2"/>
    </font>
    <font>
      <b/>
      <sz val="10"/>
      <color rgb="FFFF0000"/>
      <name val="Futura Lt BT"/>
      <family val="2"/>
    </font>
    <font>
      <sz val="10"/>
      <color rgb="FFFF0000"/>
      <name val="Futura Lt BT"/>
      <family val="2"/>
    </font>
    <font>
      <sz val="10"/>
      <color theme="1"/>
      <name val="Futura Lt BT"/>
      <family val="2"/>
    </font>
    <font>
      <b/>
      <sz val="8"/>
      <color indexed="17"/>
      <name val="Futura Lt BT"/>
      <family val="2"/>
    </font>
    <font>
      <sz val="12"/>
      <color theme="0" tint="-0.499984740745262"/>
      <name val="Futura Lt BT"/>
      <family val="2"/>
    </font>
    <font>
      <sz val="12"/>
      <name val="Futura Lt BT"/>
      <family val="2"/>
    </font>
    <font>
      <sz val="12"/>
      <color rgb="FFFF0000"/>
      <name val="Futura Lt BT"/>
      <family val="2"/>
    </font>
    <font>
      <sz val="12"/>
      <color rgb="FF7030A0"/>
      <name val="Futura Lt BT"/>
      <family val="2"/>
    </font>
    <font>
      <sz val="12"/>
      <color rgb="FF0000FF"/>
      <name val="Futura Lt BT"/>
      <family val="2"/>
    </font>
    <font>
      <sz val="11"/>
      <color theme="1"/>
      <name val="Futura Lt BT"/>
      <family val="2"/>
    </font>
    <font>
      <b/>
      <sz val="12"/>
      <color rgb="FF0000FF"/>
      <name val="Futura Lt BT"/>
      <family val="2"/>
    </font>
    <font>
      <b/>
      <sz val="11"/>
      <color rgb="FF0000FF"/>
      <name val="Futura Lt BT"/>
      <family val="2"/>
    </font>
    <font>
      <b/>
      <sz val="10"/>
      <color rgb="FF0000FF"/>
      <name val="Futura Lt BT"/>
      <family val="2"/>
    </font>
    <font>
      <b/>
      <sz val="11"/>
      <color indexed="8"/>
      <name val="Futura Lt BT"/>
      <family val="2"/>
    </font>
    <font>
      <b/>
      <sz val="18"/>
      <name val="Futura Lt BT"/>
      <family val="2"/>
    </font>
    <font>
      <sz val="10"/>
      <color rgb="FF0000FF"/>
      <name val="Futura Lt BT"/>
      <family val="2"/>
    </font>
    <font>
      <sz val="18"/>
      <name val="Futura Lt BT"/>
      <family val="2"/>
    </font>
    <font>
      <sz val="10"/>
      <color rgb="FF000000"/>
      <name val="Futura Lt BT"/>
      <family val="2"/>
    </font>
    <font>
      <b/>
      <sz val="12"/>
      <name val="Futura Lt BT"/>
      <family val="2"/>
    </font>
    <font>
      <sz val="12"/>
      <color indexed="10"/>
      <name val="Futura Lt BT"/>
      <family val="2"/>
    </font>
    <font>
      <u/>
      <sz val="11"/>
      <color theme="1"/>
      <name val="Futura Lt BT"/>
      <family val="2"/>
    </font>
    <font>
      <b/>
      <sz val="11"/>
      <color theme="1"/>
      <name val="Futura Lt BT"/>
      <family val="2"/>
    </font>
    <font>
      <b/>
      <u/>
      <sz val="12"/>
      <color indexed="12"/>
      <name val="Futura Lt BT"/>
      <family val="2"/>
    </font>
    <font>
      <sz val="11"/>
      <name val="Futura Lt BT"/>
      <family val="2"/>
    </font>
    <font>
      <sz val="12"/>
      <color theme="1"/>
      <name val="Futura Lt BT"/>
      <family val="2"/>
    </font>
    <font>
      <b/>
      <sz val="12"/>
      <color theme="1"/>
      <name val="Futura Lt BT"/>
      <family val="2"/>
    </font>
    <font>
      <sz val="11"/>
      <color rgb="FF0000FF"/>
      <name val="Futura Lt BT"/>
      <family val="2"/>
    </font>
    <font>
      <b/>
      <sz val="12"/>
      <color rgb="FFFF0000"/>
      <name val="Futura Lt BT"/>
      <family val="2"/>
    </font>
    <font>
      <sz val="8"/>
      <color theme="0" tint="-0.14999847407452621"/>
      <name val="Futura Lt BT"/>
      <family val="2"/>
    </font>
    <font>
      <sz val="12"/>
      <color indexed="8"/>
      <name val="Futura Lt BT"/>
      <family val="2"/>
    </font>
    <font>
      <sz val="48"/>
      <color rgb="FFF4910C"/>
      <name val="Futura Lt BT"/>
      <family val="2"/>
    </font>
    <font>
      <sz val="14"/>
      <name val="Futura Lt BT"/>
      <family val="2"/>
    </font>
    <font>
      <b/>
      <sz val="11"/>
      <color indexed="12"/>
      <name val="Futura Lt BT"/>
      <family val="2"/>
    </font>
    <font>
      <sz val="11"/>
      <color indexed="8"/>
      <name val="Futura Lt BT"/>
      <family val="2"/>
    </font>
    <font>
      <b/>
      <sz val="11"/>
      <name val="Futura Lt BT"/>
      <family val="2"/>
    </font>
    <font>
      <b/>
      <i/>
      <sz val="11"/>
      <color indexed="60"/>
      <name val="Futura Lt BT"/>
      <family val="2"/>
    </font>
    <font>
      <i/>
      <sz val="12"/>
      <color indexed="60"/>
      <name val="Futura Lt BT"/>
      <family val="2"/>
    </font>
    <font>
      <i/>
      <sz val="12"/>
      <color indexed="16"/>
      <name val="Futura Lt BT"/>
      <family val="2"/>
    </font>
    <font>
      <i/>
      <sz val="12"/>
      <color theme="9" tint="-0.499984740745262"/>
      <name val="Futura Lt BT"/>
      <family val="2"/>
    </font>
    <font>
      <b/>
      <sz val="12"/>
      <color indexed="12"/>
      <name val="Futura Lt BT"/>
      <family val="2"/>
    </font>
    <font>
      <sz val="12"/>
      <color indexed="60"/>
      <name val="Futura Lt BT"/>
      <family val="2"/>
    </font>
    <font>
      <b/>
      <i/>
      <sz val="12"/>
      <color indexed="60"/>
      <name val="Futura Lt BT"/>
      <family val="2"/>
    </font>
    <font>
      <u/>
      <sz val="12"/>
      <color indexed="12"/>
      <name val="Futura Lt BT"/>
      <family val="2"/>
    </font>
    <font>
      <u/>
      <sz val="12"/>
      <color rgb="FF0000FF"/>
      <name val="Futura Lt BT"/>
      <family val="2"/>
    </font>
    <font>
      <u/>
      <sz val="12"/>
      <color theme="0" tint="-0.499984740745262"/>
      <name val="Futura Lt BT"/>
      <family val="2"/>
    </font>
    <font>
      <b/>
      <sz val="12"/>
      <color indexed="10"/>
      <name val="Futura Lt BT"/>
      <family val="2"/>
    </font>
    <font>
      <sz val="12"/>
      <color indexed="12"/>
      <name val="Futura Lt BT"/>
      <family val="2"/>
    </font>
    <font>
      <i/>
      <sz val="12"/>
      <name val="Futura Lt BT"/>
      <family val="2"/>
    </font>
    <font>
      <sz val="12"/>
      <color theme="0"/>
      <name val="Futura Lt BT"/>
      <family val="2"/>
    </font>
    <font>
      <sz val="48"/>
      <color rgb="FFFF9900"/>
      <name val="Futura Lt BT"/>
      <family val="2"/>
    </font>
    <font>
      <b/>
      <sz val="20"/>
      <color rgb="FFFF9900"/>
      <name val="Futura Lt BT"/>
      <family val="2"/>
    </font>
    <font>
      <sz val="22"/>
      <color rgb="FFFF9900"/>
      <name val="Futura Lt BT"/>
      <family val="2"/>
    </font>
    <font>
      <b/>
      <sz val="12"/>
      <color rgb="FFFF9900"/>
      <name val="Futura Lt BT"/>
      <family val="2"/>
    </font>
    <font>
      <sz val="10"/>
      <color rgb="FFF4910C"/>
      <name val="Futura Lt BT"/>
      <family val="2"/>
    </font>
    <font>
      <sz val="10"/>
      <color indexed="16"/>
      <name val="Futura Lt BT"/>
      <family val="2"/>
    </font>
    <font>
      <i/>
      <sz val="10"/>
      <color indexed="16"/>
      <name val="Futura Lt BT"/>
      <family val="2"/>
    </font>
    <font>
      <sz val="10"/>
      <color indexed="12"/>
      <name val="Futura Lt BT"/>
      <family val="2"/>
    </font>
    <font>
      <i/>
      <sz val="10"/>
      <color theme="9" tint="-0.499984740745262"/>
      <name val="Futura Lt BT"/>
      <family val="2"/>
    </font>
    <font>
      <b/>
      <sz val="10"/>
      <color indexed="12"/>
      <name val="Futura Lt BT"/>
      <family val="2"/>
    </font>
    <font>
      <b/>
      <i/>
      <sz val="10"/>
      <color indexed="60"/>
      <name val="Futura Lt BT"/>
      <family val="2"/>
    </font>
    <font>
      <u/>
      <sz val="12"/>
      <color rgb="FFFF9900"/>
      <name val="Futura Lt BT"/>
      <family val="2"/>
    </font>
    <font>
      <sz val="12"/>
      <color rgb="FFFF9900"/>
      <name val="Futura Lt BT"/>
      <family val="2"/>
    </font>
    <font>
      <sz val="10"/>
      <color rgb="FFFF9900"/>
      <name val="Futura Lt BT"/>
      <family val="2"/>
    </font>
    <font>
      <i/>
      <sz val="11"/>
      <color theme="1" tint="0.499984740745262"/>
      <name val="Futura Lt BT"/>
      <family val="2"/>
    </font>
    <font>
      <u/>
      <sz val="11"/>
      <color indexed="12"/>
      <name val="Futura Lt BT"/>
      <family val="2"/>
    </font>
    <font>
      <sz val="11"/>
      <color theme="1" tint="0.499984740745262"/>
      <name val="Futura Lt BT"/>
      <family val="2"/>
    </font>
    <font>
      <sz val="10"/>
      <color rgb="FF7030A0"/>
      <name val="Futura Lt BT"/>
      <family val="2"/>
    </font>
    <font>
      <b/>
      <sz val="8"/>
      <color rgb="FF008000"/>
      <name val="Futura Lt BT"/>
      <family val="2"/>
    </font>
    <font>
      <sz val="8"/>
      <color indexed="8"/>
      <name val="Futura Lt BT"/>
      <family val="2"/>
    </font>
    <font>
      <u/>
      <sz val="11"/>
      <color theme="0" tint="-0.499984740745262"/>
      <name val="Futura Lt BT"/>
      <family val="2"/>
    </font>
    <font>
      <b/>
      <u/>
      <sz val="11"/>
      <color theme="0" tint="-0.499984740745262"/>
      <name val="Futura Lt BT"/>
      <family val="2"/>
    </font>
    <font>
      <b/>
      <u/>
      <sz val="11"/>
      <color indexed="12"/>
      <name val="Futura Lt BT"/>
      <family val="2"/>
    </font>
    <font>
      <u/>
      <sz val="11"/>
      <color rgb="FF0000FF"/>
      <name val="Futura Lt BT"/>
      <family val="2"/>
    </font>
    <font>
      <b/>
      <u/>
      <sz val="11"/>
      <color rgb="FF0000FF"/>
      <name val="Futura Lt BT"/>
      <family val="2"/>
    </font>
    <font>
      <b/>
      <sz val="11"/>
      <color theme="0" tint="-0.499984740745262"/>
      <name val="Futura Lt BT"/>
      <family val="2"/>
    </font>
    <font>
      <sz val="11"/>
      <color theme="0" tint="-0.499984740745262"/>
      <name val="Futura Lt BT"/>
      <family val="2"/>
    </font>
    <font>
      <u/>
      <sz val="11"/>
      <color rgb="FF0033CC"/>
      <name val="Futura Lt BT"/>
      <family val="2"/>
    </font>
    <font>
      <sz val="12"/>
      <color indexed="17"/>
      <name val="Futura Lt BT"/>
      <family val="2"/>
    </font>
    <font>
      <b/>
      <i/>
      <sz val="10"/>
      <name val="Futura Lt BT"/>
      <family val="2"/>
    </font>
    <font>
      <sz val="14"/>
      <color indexed="10"/>
      <name val="Futura Lt BT"/>
      <family val="2"/>
    </font>
    <font>
      <sz val="10"/>
      <name val="Futura Lt BT"/>
      <family val="2"/>
    </font>
    <font>
      <sz val="11"/>
      <color rgb="FFFF9900"/>
      <name val="Futura Lt BT"/>
      <family val="2"/>
    </font>
    <font>
      <sz val="48"/>
      <color indexed="52"/>
      <name val="Futura Lt BT"/>
      <family val="2"/>
    </font>
    <font>
      <b/>
      <sz val="14"/>
      <color indexed="8"/>
      <name val="Futura Lt BT"/>
      <family val="2"/>
    </font>
    <font>
      <sz val="14"/>
      <color indexed="8"/>
      <name val="Futura Lt BT"/>
      <family val="2"/>
    </font>
    <font>
      <sz val="11"/>
      <color indexed="9"/>
      <name val="Futura Lt BT"/>
      <family val="2"/>
    </font>
    <font>
      <sz val="11"/>
      <color indexed="10"/>
      <name val="Futura Lt BT"/>
      <family val="2"/>
    </font>
    <font>
      <sz val="14"/>
      <color rgb="FFFF0000"/>
      <name val="Futura Lt BT"/>
      <family val="2"/>
    </font>
    <font>
      <b/>
      <sz val="8"/>
      <color indexed="9"/>
      <name val="Futura Lt BT"/>
      <family val="2"/>
    </font>
    <font>
      <sz val="48"/>
      <color rgb="FFFFC000"/>
      <name val="Futura Lt BT"/>
      <family val="2"/>
    </font>
    <font>
      <sz val="48"/>
      <name val="Futura Lt BT"/>
      <family val="2"/>
    </font>
    <font>
      <sz val="11"/>
      <color rgb="FFFF0000"/>
      <name val="Futura Lt BT"/>
      <family val="2"/>
    </font>
    <font>
      <u/>
      <sz val="11"/>
      <name val="Futura Lt BT"/>
      <family val="2"/>
    </font>
    <font>
      <u/>
      <sz val="12"/>
      <color rgb="FF0033CC"/>
      <name val="Futura Lt BT"/>
      <family val="2"/>
    </font>
    <font>
      <sz val="12"/>
      <color rgb="FF0033CC"/>
      <name val="Futura Lt BT"/>
      <family val="2"/>
    </font>
    <font>
      <sz val="10"/>
      <color rgb="FF0033CC"/>
      <name val="Futura Lt BT"/>
      <family val="2"/>
    </font>
    <font>
      <u/>
      <sz val="12"/>
      <color rgb="FF000099"/>
      <name val="Futura Lt BT"/>
      <family val="2"/>
    </font>
    <font>
      <sz val="10"/>
      <color rgb="FF000099"/>
      <name val="Futura Lt BT"/>
      <family val="2"/>
    </font>
    <font>
      <u/>
      <sz val="12"/>
      <name val="Futura Lt BT"/>
      <family val="2"/>
    </font>
    <font>
      <sz val="10"/>
      <color theme="7" tint="-0.249977111117893"/>
      <name val="Futura Lt BT"/>
      <family val="2"/>
    </font>
    <font>
      <i/>
      <sz val="10"/>
      <color indexed="8"/>
      <name val="Futura Lt BT"/>
      <family val="2"/>
    </font>
    <font>
      <i/>
      <sz val="10"/>
      <name val="Futura Lt BT"/>
      <family val="2"/>
    </font>
    <font>
      <sz val="10"/>
      <color rgb="FFFF0000"/>
      <name val="Calibri"/>
      <family val="2"/>
    </font>
    <font>
      <sz val="10"/>
      <color theme="1"/>
      <name val="Calibri"/>
      <family val="2"/>
      <scheme val="minor"/>
    </font>
    <font>
      <b/>
      <sz val="10"/>
      <color theme="0"/>
      <name val="Futura Lt BT"/>
      <family val="2"/>
    </font>
    <font>
      <sz val="9"/>
      <color indexed="81"/>
      <name val="Segoe UI"/>
      <family val="2"/>
    </font>
    <font>
      <sz val="11"/>
      <color indexed="12"/>
      <name val="Futura Lt BT"/>
      <family val="2"/>
    </font>
    <font>
      <sz val="12"/>
      <color indexed="10"/>
      <name val="Arial Unicode MS"/>
      <family val="2"/>
    </font>
    <font>
      <b/>
      <u/>
      <sz val="10"/>
      <color indexed="12"/>
      <name val="Futura Lt BT"/>
      <family val="2"/>
    </font>
    <font>
      <u/>
      <sz val="10"/>
      <color rgb="FF0033CC"/>
      <name val="Futura Lt BT"/>
      <family val="2"/>
    </font>
    <font>
      <b/>
      <sz val="10"/>
      <color rgb="FF008000"/>
      <name val="Futura Lt BT"/>
      <family val="2"/>
    </font>
    <font>
      <b/>
      <sz val="9"/>
      <name val="Futura Lt BT"/>
      <family val="2"/>
    </font>
    <font>
      <sz val="11"/>
      <color rgb="FF008000"/>
      <name val="Futura Lt BT"/>
      <family val="2"/>
    </font>
  </fonts>
  <fills count="64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CCFFCC"/>
        <bgColor indexed="31"/>
      </patternFill>
    </fill>
    <fill>
      <patternFill patternType="solid">
        <fgColor rgb="FF99CCFF"/>
        <bgColor indexed="31"/>
      </patternFill>
    </fill>
    <fill>
      <patternFill patternType="solid">
        <fgColor rgb="FF99CCFF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rgb="FFFF0000"/>
        <bgColor indexed="31"/>
      </patternFill>
    </fill>
    <fill>
      <patternFill patternType="solid">
        <fgColor rgb="FFFF0000"/>
        <bgColor indexed="64"/>
      </patternFill>
    </fill>
    <fill>
      <patternFill patternType="solid">
        <fgColor rgb="FFFF0000"/>
        <bgColor indexed="60"/>
      </patternFill>
    </fill>
    <fill>
      <patternFill patternType="solid">
        <fgColor rgb="FFFF0000"/>
        <bgColor indexed="27"/>
      </patternFill>
    </fill>
    <fill>
      <patternFill patternType="solid">
        <fgColor rgb="FFFF0000"/>
        <bgColor indexed="26"/>
      </patternFill>
    </fill>
    <fill>
      <patternFill patternType="solid">
        <fgColor rgb="FFFFCC99"/>
        <bgColor indexed="31"/>
      </patternFill>
    </fill>
    <fill>
      <patternFill patternType="solid">
        <fgColor rgb="FFFFCC99"/>
        <bgColor indexed="64"/>
      </patternFill>
    </fill>
    <fill>
      <patternFill patternType="solid">
        <fgColor rgb="FFFFCC00"/>
        <bgColor indexed="64"/>
      </patternFill>
    </fill>
    <fill>
      <patternFill patternType="solid">
        <fgColor rgb="FFFFC000"/>
        <bgColor indexed="31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31"/>
      </patternFill>
    </fill>
    <fill>
      <patternFill patternType="solid">
        <fgColor rgb="FFFFFF00"/>
        <bgColor indexed="60"/>
      </patternFill>
    </fill>
    <fill>
      <patternFill patternType="solid">
        <fgColor rgb="FFFFFF00"/>
        <bgColor indexed="22"/>
      </patternFill>
    </fill>
    <fill>
      <patternFill patternType="solid">
        <fgColor rgb="FFFFFF66"/>
        <bgColor indexed="64"/>
      </patternFill>
    </fill>
    <fill>
      <patternFill patternType="solid">
        <fgColor rgb="FFFFE0C1"/>
        <bgColor indexed="64"/>
      </patternFill>
    </fill>
    <fill>
      <patternFill patternType="solid">
        <fgColor rgb="FFFFE0C1"/>
        <bgColor indexed="31"/>
      </patternFill>
    </fill>
    <fill>
      <patternFill patternType="solid">
        <fgColor rgb="FFFFE0C1"/>
        <bgColor indexed="22"/>
      </patternFill>
    </fill>
    <fill>
      <patternFill patternType="solid">
        <fgColor rgb="FFFFE0C1"/>
        <bgColor indexed="27"/>
      </patternFill>
    </fill>
    <fill>
      <patternFill patternType="solid">
        <fgColor theme="3" tint="0.79998168889431442"/>
        <bgColor indexed="31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0.79998168889431442"/>
        <bgColor indexed="60"/>
      </patternFill>
    </fill>
    <fill>
      <patternFill patternType="solid">
        <fgColor theme="3" tint="0.79998168889431442"/>
        <bgColor indexed="27"/>
      </patternFill>
    </fill>
    <fill>
      <patternFill patternType="solid">
        <fgColor theme="3" tint="0.79998168889431442"/>
        <bgColor indexed="22"/>
      </patternFill>
    </fill>
    <fill>
      <patternFill patternType="solid">
        <fgColor theme="3" tint="0.79998168889431442"/>
        <bgColor indexed="13"/>
      </patternFill>
    </fill>
    <fill>
      <patternFill patternType="solid">
        <fgColor rgb="FFBDFFBD"/>
        <bgColor indexed="31"/>
      </patternFill>
    </fill>
    <fill>
      <patternFill patternType="solid">
        <fgColor rgb="FFBDFFBD"/>
        <bgColor indexed="64"/>
      </patternFill>
    </fill>
    <fill>
      <patternFill patternType="solid">
        <fgColor rgb="FFBDFFBD"/>
        <bgColor indexed="60"/>
      </patternFill>
    </fill>
    <fill>
      <patternFill patternType="solid">
        <fgColor rgb="FFBDFFBD"/>
        <bgColor indexed="27"/>
      </patternFill>
    </fill>
    <fill>
      <patternFill patternType="solid">
        <fgColor rgb="FFBDFFBD"/>
        <bgColor indexed="26"/>
      </patternFill>
    </fill>
    <fill>
      <patternFill patternType="solid">
        <fgColor rgb="FFBDFFBD"/>
        <bgColor auto="1"/>
      </patternFill>
    </fill>
    <fill>
      <patternFill patternType="solid">
        <fgColor rgb="FFBDFFBD"/>
        <bgColor indexed="22"/>
      </patternFill>
    </fill>
    <fill>
      <patternFill patternType="solid">
        <fgColor rgb="FFFFE0C1"/>
        <bgColor indexed="26"/>
      </patternFill>
    </fill>
    <fill>
      <patternFill patternType="solid">
        <fgColor rgb="FFFFE0C1"/>
        <bgColor auto="1"/>
      </patternFill>
    </fill>
    <fill>
      <patternFill patternType="solid">
        <fgColor rgb="FFCCFFFF"/>
        <bgColor indexed="64"/>
      </patternFill>
    </fill>
    <fill>
      <patternFill patternType="solid">
        <fgColor theme="3" tint="0.79998168889431442"/>
        <bgColor auto="1"/>
      </patternFill>
    </fill>
    <fill>
      <gradientFill degree="90">
        <stop position="0">
          <color rgb="FFBDFFBD"/>
        </stop>
        <stop position="1">
          <color theme="3" tint="0.80001220740379042"/>
        </stop>
      </gradientFill>
    </fill>
    <fill>
      <gradientFill degree="90">
        <stop position="0">
          <color rgb="FFFFE0C1"/>
        </stop>
        <stop position="1">
          <color rgb="FFBDFFBD"/>
        </stop>
      </gradientFill>
    </fill>
    <fill>
      <gradientFill degree="90">
        <stop position="0">
          <color rgb="FFFFFF99"/>
        </stop>
        <stop position="1">
          <color rgb="FFFFE0C1"/>
        </stop>
      </gradientFill>
    </fill>
    <fill>
      <patternFill patternType="solid">
        <fgColor rgb="FF00B050"/>
        <bgColor indexed="64"/>
      </patternFill>
    </fill>
    <fill>
      <patternFill patternType="solid">
        <fgColor rgb="FFFF7C80"/>
        <bgColor indexed="64"/>
      </patternFill>
    </fill>
    <fill>
      <patternFill patternType="solid">
        <fgColor rgb="FFFFDCB9"/>
        <bgColor indexed="64"/>
      </patternFill>
    </fill>
    <fill>
      <gradientFill degree="90">
        <stop position="0">
          <color rgb="FFBDFFBD"/>
        </stop>
        <stop position="1">
          <color rgb="FF93D9F1"/>
        </stop>
      </gradientFill>
    </fill>
    <fill>
      <patternFill patternType="solid">
        <fgColor rgb="FFFFFF99"/>
        <bgColor indexed="31"/>
      </patternFill>
    </fill>
    <fill>
      <patternFill patternType="solid">
        <fgColor rgb="FFFFFF99"/>
        <bgColor auto="1"/>
      </patternFill>
    </fill>
    <fill>
      <patternFill patternType="solid">
        <fgColor rgb="FF93D9F1"/>
        <bgColor indexed="31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CC00"/>
        <bgColor indexed="31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27"/>
      </patternFill>
    </fill>
    <fill>
      <patternFill patternType="solid">
        <fgColor rgb="FFFFFF99"/>
        <bgColor indexed="26"/>
      </patternFill>
    </fill>
    <fill>
      <patternFill patternType="solid">
        <fgColor theme="8" tint="0.59999389629810485"/>
        <bgColor indexed="31"/>
      </patternFill>
    </fill>
    <fill>
      <patternFill patternType="solid">
        <fgColor rgb="FFFFCC00"/>
        <bgColor indexed="60"/>
      </patternFill>
    </fill>
    <fill>
      <patternFill patternType="solid">
        <fgColor rgb="FFFFFF99"/>
        <bgColor indexed="27"/>
      </patternFill>
    </fill>
    <fill>
      <patternFill patternType="solid">
        <fgColor rgb="FFFFFF99"/>
        <bgColor indexed="22"/>
      </patternFill>
    </fill>
  </fills>
  <borders count="627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8"/>
      </top>
      <bottom/>
      <diagonal/>
    </border>
    <border>
      <left/>
      <right/>
      <top/>
      <bottom style="thick">
        <color indexed="8"/>
      </bottom>
      <diagonal/>
    </border>
    <border>
      <left style="thick">
        <color indexed="8"/>
      </left>
      <right/>
      <top style="thick">
        <color indexed="8"/>
      </top>
      <bottom/>
      <diagonal/>
    </border>
    <border>
      <left/>
      <right/>
      <top style="thick">
        <color indexed="8"/>
      </top>
      <bottom/>
      <diagonal/>
    </border>
    <border>
      <left/>
      <right style="thin">
        <color indexed="8"/>
      </right>
      <top style="thick">
        <color indexed="8"/>
      </top>
      <bottom/>
      <diagonal/>
    </border>
    <border>
      <left style="thin">
        <color indexed="8"/>
      </left>
      <right/>
      <top style="thick">
        <color indexed="8"/>
      </top>
      <bottom/>
      <diagonal/>
    </border>
    <border>
      <left style="thin">
        <color indexed="8"/>
      </left>
      <right style="thin">
        <color indexed="8"/>
      </right>
      <top style="thick">
        <color indexed="8"/>
      </top>
      <bottom/>
      <diagonal/>
    </border>
    <border>
      <left style="thin">
        <color indexed="8"/>
      </left>
      <right style="thick">
        <color indexed="8"/>
      </right>
      <top style="thick">
        <color indexed="8"/>
      </top>
      <bottom/>
      <diagonal/>
    </border>
    <border>
      <left style="thick">
        <color indexed="8"/>
      </left>
      <right/>
      <top/>
      <bottom/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ck">
        <color indexed="8"/>
      </right>
      <top/>
      <bottom style="thin">
        <color indexed="8"/>
      </bottom>
      <diagonal/>
    </border>
    <border>
      <left style="thick">
        <color indexed="8"/>
      </left>
      <right/>
      <top/>
      <bottom style="thin">
        <color indexed="64"/>
      </bottom>
      <diagonal/>
    </border>
    <border>
      <left/>
      <right style="thin">
        <color indexed="8"/>
      </right>
      <top/>
      <bottom style="thin">
        <color indexed="64"/>
      </bottom>
      <diagonal/>
    </border>
    <border>
      <left style="thin">
        <color indexed="8"/>
      </left>
      <right/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/>
      <diagonal/>
    </border>
    <border>
      <left style="thick">
        <color indexed="8"/>
      </left>
      <right/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ck">
        <color indexed="8"/>
      </left>
      <right/>
      <top style="thin">
        <color indexed="64"/>
      </top>
      <bottom/>
      <diagonal/>
    </border>
    <border>
      <left style="thin">
        <color indexed="8"/>
      </left>
      <right/>
      <top style="thin">
        <color indexed="64"/>
      </top>
      <bottom/>
      <diagonal/>
    </border>
    <border>
      <left/>
      <right style="thin">
        <color auto="1"/>
      </right>
      <top/>
      <bottom style="thin">
        <color indexed="8"/>
      </bottom>
      <diagonal/>
    </border>
    <border>
      <left style="thick">
        <color indexed="64"/>
      </left>
      <right/>
      <top/>
      <bottom/>
      <diagonal/>
    </border>
    <border>
      <left style="thick">
        <color indexed="64"/>
      </left>
      <right/>
      <top/>
      <bottom style="thin">
        <color indexed="64"/>
      </bottom>
      <diagonal/>
    </border>
    <border>
      <left style="thick">
        <color indexed="8"/>
      </left>
      <right/>
      <top/>
      <bottom style="thick">
        <color indexed="8"/>
      </bottom>
      <diagonal/>
    </border>
    <border>
      <left/>
      <right style="thin">
        <color indexed="8"/>
      </right>
      <top/>
      <bottom style="thick">
        <color indexed="8"/>
      </bottom>
      <diagonal/>
    </border>
    <border>
      <left style="thin">
        <color indexed="8"/>
      </left>
      <right style="thin">
        <color indexed="8"/>
      </right>
      <top/>
      <bottom style="thick">
        <color indexed="8"/>
      </bottom>
      <diagonal/>
    </border>
    <border>
      <left style="thin">
        <color indexed="8"/>
      </left>
      <right/>
      <top/>
      <bottom style="thick">
        <color indexed="8"/>
      </bottom>
      <diagonal/>
    </border>
    <border>
      <left style="thin">
        <color indexed="8"/>
      </left>
      <right style="thick">
        <color indexed="8"/>
      </right>
      <top/>
      <bottom style="thick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64"/>
      </right>
      <top style="thin">
        <color indexed="8"/>
      </top>
      <bottom style="thin">
        <color indexed="64"/>
      </bottom>
      <diagonal/>
    </border>
    <border>
      <left style="thin">
        <color indexed="64"/>
      </left>
      <right style="thin">
        <color indexed="8"/>
      </right>
      <top style="thin">
        <color indexed="8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 style="thin">
        <color indexed="8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64"/>
      </bottom>
      <diagonal/>
    </border>
    <border>
      <left/>
      <right/>
      <top style="thin">
        <color indexed="8"/>
      </top>
      <bottom style="thin">
        <color indexed="64"/>
      </bottom>
      <diagonal/>
    </border>
    <border>
      <left/>
      <right/>
      <top/>
      <bottom style="thick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64"/>
      </bottom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/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indexed="64"/>
      </bottom>
      <diagonal/>
    </border>
    <border>
      <left style="thin">
        <color indexed="8"/>
      </left>
      <right/>
      <top/>
      <bottom style="thin">
        <color indexed="64"/>
      </bottom>
      <diagonal/>
    </border>
    <border>
      <left style="thin">
        <color indexed="8"/>
      </left>
      <right style="thin">
        <color auto="1"/>
      </right>
      <top style="thin">
        <color indexed="8"/>
      </top>
      <bottom/>
      <diagonal/>
    </border>
    <border>
      <left style="thin">
        <color auto="1"/>
      </left>
      <right style="thin">
        <color auto="1"/>
      </right>
      <top style="thin">
        <color indexed="8"/>
      </top>
      <bottom/>
      <diagonal/>
    </border>
    <border>
      <left style="thin">
        <color auto="1"/>
      </left>
      <right style="thin">
        <color indexed="8"/>
      </right>
      <top style="thin">
        <color indexed="8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8"/>
      </right>
      <top style="thin">
        <color indexed="64"/>
      </top>
      <bottom/>
      <diagonal/>
    </border>
    <border>
      <left style="thick">
        <color indexed="8"/>
      </left>
      <right/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auto="1"/>
      </left>
      <right style="thin">
        <color auto="1"/>
      </right>
      <top/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8"/>
      </top>
      <bottom style="thin">
        <color indexed="64"/>
      </bottom>
      <diagonal/>
    </border>
    <border>
      <left/>
      <right/>
      <top style="thin">
        <color indexed="8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8"/>
      </right>
      <top style="thin">
        <color indexed="8"/>
      </top>
      <bottom style="thin">
        <color indexed="64"/>
      </bottom>
      <diagonal/>
    </border>
    <border>
      <left style="thin">
        <color indexed="64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 style="thick">
        <color indexed="8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8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64"/>
      </top>
      <bottom/>
      <diagonal/>
    </border>
    <border>
      <left style="thin">
        <color indexed="8"/>
      </left>
      <right style="thick">
        <color indexed="8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8"/>
      </right>
      <top/>
      <bottom/>
      <diagonal/>
    </border>
    <border>
      <left style="thin">
        <color indexed="64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8"/>
      </top>
      <bottom/>
      <diagonal/>
    </border>
    <border>
      <left style="thin">
        <color indexed="64"/>
      </left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8"/>
      </top>
      <bottom style="thin">
        <color indexed="64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64"/>
      </right>
      <top style="thin">
        <color indexed="8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/>
      <top style="thin">
        <color indexed="8"/>
      </top>
      <bottom/>
      <diagonal/>
    </border>
    <border>
      <left style="thin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8"/>
      </right>
      <top style="thin">
        <color indexed="8"/>
      </top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64"/>
      </right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64"/>
      </bottom>
      <diagonal/>
    </border>
    <border>
      <left style="thin">
        <color indexed="64"/>
      </left>
      <right/>
      <top style="thin">
        <color indexed="8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rgb="FF000000"/>
      </left>
      <right style="thin">
        <color rgb="FF000000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/>
      <top style="thin">
        <color indexed="8"/>
      </top>
      <bottom style="thin">
        <color indexed="64"/>
      </bottom>
      <diagonal/>
    </border>
    <border>
      <left style="thin">
        <color indexed="64"/>
      </left>
      <right/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64"/>
      </bottom>
      <diagonal/>
    </border>
    <border>
      <left style="thin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8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auto="1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8"/>
      </bottom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/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auto="1"/>
      </left>
      <right/>
      <top style="thin">
        <color indexed="8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8"/>
      </left>
      <right style="thick">
        <color indexed="8"/>
      </right>
      <top/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8"/>
      </right>
      <top style="thin">
        <color indexed="8"/>
      </top>
      <bottom/>
      <diagonal/>
    </border>
    <border>
      <left/>
      <right style="thin">
        <color indexed="64"/>
      </right>
      <top style="thin">
        <color indexed="8"/>
      </top>
      <bottom style="thin">
        <color indexed="64"/>
      </bottom>
      <diagonal/>
    </border>
    <border>
      <left style="thin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 style="thin">
        <color indexed="8"/>
      </bottom>
      <diagonal/>
    </border>
    <border>
      <left style="thin">
        <color indexed="64"/>
      </left>
      <right/>
      <top style="thin">
        <color indexed="8"/>
      </top>
      <bottom/>
      <diagonal/>
    </border>
    <border>
      <left style="thin">
        <color indexed="64"/>
      </left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8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8"/>
      </left>
      <right/>
      <top style="thin">
        <color indexed="8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64"/>
      </bottom>
      <diagonal/>
    </border>
    <border>
      <left/>
      <right/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64"/>
      </bottom>
      <diagonal/>
    </border>
    <border>
      <left style="thin">
        <color indexed="64"/>
      </left>
      <right/>
      <top style="thin">
        <color indexed="8"/>
      </top>
      <bottom style="thin">
        <color indexed="64"/>
      </bottom>
      <diagonal/>
    </border>
    <border>
      <left/>
      <right style="thin">
        <color indexed="64"/>
      </right>
      <top style="thin">
        <color indexed="8"/>
      </top>
      <bottom style="thin">
        <color indexed="64"/>
      </bottom>
      <diagonal/>
    </border>
    <border>
      <left/>
      <right/>
      <top style="thin">
        <color indexed="8"/>
      </top>
      <bottom style="thin">
        <color indexed="64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64"/>
      </bottom>
      <diagonal/>
    </border>
    <border>
      <left/>
      <right/>
      <top style="thick">
        <color auto="1"/>
      </top>
      <bottom/>
      <diagonal/>
    </border>
    <border>
      <left/>
      <right/>
      <top style="thin">
        <color indexed="8"/>
      </top>
      <bottom/>
      <diagonal/>
    </border>
    <border>
      <left style="thin">
        <color indexed="64"/>
      </left>
      <right/>
      <top style="thin">
        <color indexed="8"/>
      </top>
      <bottom/>
      <diagonal/>
    </border>
    <border>
      <left style="thin">
        <color indexed="64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auto="1"/>
      </left>
      <right/>
      <top style="thin">
        <color indexed="64"/>
      </top>
      <bottom/>
      <diagonal/>
    </border>
    <border>
      <left style="thin">
        <color indexed="8"/>
      </left>
      <right/>
      <top/>
      <bottom/>
      <diagonal/>
    </border>
    <border>
      <left style="thin">
        <color auto="1"/>
      </left>
      <right/>
      <top/>
      <bottom/>
      <diagonal/>
    </border>
    <border>
      <left/>
      <right/>
      <top style="thin">
        <color indexed="8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indexed="64"/>
      </left>
      <right/>
      <top style="thin">
        <color indexed="8"/>
      </top>
      <bottom/>
      <diagonal/>
    </border>
    <border>
      <left style="thin">
        <color indexed="64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ck">
        <color indexed="8"/>
      </left>
      <right/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 style="thin">
        <color auto="1"/>
      </left>
      <right style="thin">
        <color auto="1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ck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 style="thin">
        <color auto="1"/>
      </left>
      <right/>
      <top/>
      <bottom style="thin">
        <color indexed="8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auto="1"/>
      </right>
      <top style="thin">
        <color indexed="8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8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ck">
        <color indexed="8"/>
      </right>
      <top/>
      <bottom/>
      <diagonal/>
    </border>
    <border>
      <left style="thick">
        <color indexed="8"/>
      </left>
      <right/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/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 style="thin">
        <color auto="1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ck">
        <color indexed="8"/>
      </right>
      <top style="thin">
        <color indexed="8"/>
      </top>
      <bottom/>
      <diagonal/>
    </border>
    <border>
      <left/>
      <right style="thin">
        <color indexed="64"/>
      </right>
      <top/>
      <bottom style="thin">
        <color indexed="8"/>
      </bottom>
      <diagonal/>
    </border>
    <border>
      <left style="thin">
        <color indexed="8"/>
      </left>
      <right style="thick">
        <color indexed="8"/>
      </right>
      <top/>
      <bottom style="thin">
        <color indexed="8"/>
      </bottom>
      <diagonal/>
    </border>
    <border>
      <left/>
      <right style="thin">
        <color indexed="64"/>
      </right>
      <top/>
      <bottom/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ck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auto="1"/>
      </right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/>
      <right style="thin">
        <color indexed="8"/>
      </right>
      <top/>
      <bottom/>
      <diagonal/>
    </border>
    <border>
      <left/>
      <right style="thin">
        <color auto="1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8"/>
      </bottom>
      <diagonal/>
    </border>
    <border>
      <left style="thin">
        <color auto="1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ck">
        <color indexed="8"/>
      </left>
      <right/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/>
      <right style="thin">
        <color auto="1"/>
      </right>
      <top style="thin">
        <color indexed="8"/>
      </top>
      <bottom/>
      <diagonal/>
    </border>
    <border>
      <left style="thin">
        <color indexed="64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auto="1"/>
      </right>
      <top style="thin">
        <color indexed="8"/>
      </top>
      <bottom/>
      <diagonal/>
    </border>
    <border>
      <left style="thin">
        <color auto="1"/>
      </left>
      <right style="thin">
        <color auto="1"/>
      </right>
      <top style="thin">
        <color indexed="8"/>
      </top>
      <bottom/>
      <diagonal/>
    </border>
    <border>
      <left style="thin">
        <color indexed="8"/>
      </left>
      <right style="thick">
        <color indexed="8"/>
      </right>
      <top style="thin">
        <color indexed="8"/>
      </top>
      <bottom/>
      <diagonal/>
    </border>
    <border>
      <left style="thin">
        <color indexed="64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auto="1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indexed="64"/>
      </top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64"/>
      </bottom>
      <diagonal/>
    </border>
    <border>
      <left style="thin">
        <color indexed="8"/>
      </left>
      <right/>
      <top/>
      <bottom style="thin">
        <color indexed="64"/>
      </bottom>
      <diagonal/>
    </border>
    <border>
      <left style="thin">
        <color indexed="8"/>
      </left>
      <right style="thick">
        <color indexed="8"/>
      </right>
      <top/>
      <bottom style="thin">
        <color indexed="8"/>
      </bottom>
      <diagonal/>
    </border>
    <border>
      <left style="thin">
        <color indexed="8"/>
      </left>
      <right style="thick">
        <color indexed="8"/>
      </right>
      <top/>
      <bottom style="thin">
        <color indexed="64"/>
      </bottom>
      <diagonal/>
    </border>
    <border>
      <left style="thin">
        <color auto="1"/>
      </left>
      <right style="thin">
        <color indexed="8"/>
      </right>
      <top/>
      <bottom/>
      <diagonal/>
    </border>
    <border>
      <left style="thin">
        <color indexed="8"/>
      </left>
      <right style="thin">
        <color auto="1"/>
      </right>
      <top/>
      <bottom style="thin">
        <color indexed="8"/>
      </bottom>
      <diagonal/>
    </border>
    <border>
      <left style="thin">
        <color auto="1"/>
      </left>
      <right style="thick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 style="thin">
        <color indexed="8"/>
      </right>
      <top/>
      <bottom/>
      <diagonal/>
    </border>
    <border>
      <left/>
      <right style="thin">
        <color auto="1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8"/>
      </left>
      <right style="thin">
        <color auto="1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ck">
        <color indexed="8"/>
      </right>
      <top/>
      <bottom/>
      <diagonal/>
    </border>
    <border>
      <left/>
      <right style="thin">
        <color auto="1"/>
      </right>
      <top/>
      <bottom/>
      <diagonal/>
    </border>
    <border>
      <left style="thin">
        <color indexed="64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ck">
        <color indexed="64"/>
      </left>
      <right/>
      <top style="thin">
        <color indexed="64"/>
      </top>
      <bottom/>
      <diagonal/>
    </border>
    <border>
      <left style="thin">
        <color indexed="8"/>
      </left>
      <right style="thin">
        <color indexed="64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/>
      <right style="thin">
        <color indexed="8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8"/>
      </left>
      <right style="thin">
        <color auto="1"/>
      </right>
      <top/>
      <bottom/>
      <diagonal/>
    </border>
    <border>
      <left style="thin">
        <color auto="1"/>
      </left>
      <right style="thick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auto="1"/>
      </left>
      <right style="thin">
        <color auto="1"/>
      </right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 style="thick">
        <color indexed="8"/>
      </left>
      <right/>
      <top style="thin">
        <color indexed="8"/>
      </top>
      <bottom/>
      <diagonal/>
    </border>
    <border>
      <left style="thin">
        <color indexed="8"/>
      </left>
      <right style="thick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auto="1"/>
      </right>
      <top/>
      <bottom style="thin">
        <color indexed="8"/>
      </bottom>
      <diagonal/>
    </border>
    <border>
      <left style="thin">
        <color indexed="8"/>
      </left>
      <right style="thin">
        <color auto="1"/>
      </right>
      <top style="thin">
        <color indexed="8"/>
      </top>
      <bottom/>
      <diagonal/>
    </border>
    <border>
      <left style="thin">
        <color indexed="64"/>
      </left>
      <right style="thick">
        <color indexed="8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/>
      <bottom style="thin">
        <color indexed="8"/>
      </bottom>
      <diagonal/>
    </border>
    <border>
      <left/>
      <right style="thin">
        <color indexed="64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64"/>
      </top>
      <bottom/>
      <diagonal/>
    </border>
    <border>
      <left/>
      <right style="thin">
        <color indexed="8"/>
      </right>
      <top/>
      <bottom style="thin">
        <color indexed="64"/>
      </bottom>
      <diagonal/>
    </border>
    <border>
      <left style="thin">
        <color auto="1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8"/>
      </right>
      <top/>
      <bottom style="thin">
        <color indexed="64"/>
      </bottom>
      <diagonal/>
    </border>
    <border>
      <left/>
      <right/>
      <top style="thin">
        <color indexed="8"/>
      </top>
      <bottom style="thin">
        <color indexed="64"/>
      </bottom>
      <diagonal/>
    </border>
    <border>
      <left style="thin">
        <color indexed="64"/>
      </left>
      <right/>
      <top style="thin">
        <color indexed="8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8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64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64"/>
      </bottom>
      <diagonal/>
    </border>
    <border>
      <left style="thin">
        <color indexed="8"/>
      </left>
      <right/>
      <top/>
      <bottom style="thin">
        <color indexed="64"/>
      </bottom>
      <diagonal/>
    </border>
    <border>
      <left style="thin">
        <color auto="1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8"/>
      </top>
      <bottom style="thin">
        <color indexed="64"/>
      </bottom>
      <diagonal/>
    </border>
    <border>
      <left style="thin">
        <color indexed="8"/>
      </left>
      <right style="thick">
        <color indexed="8"/>
      </right>
      <top style="thin">
        <color indexed="64"/>
      </top>
      <bottom/>
      <diagonal/>
    </border>
    <border>
      <left/>
      <right/>
      <top/>
      <bottom style="thick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ck">
        <color auto="1"/>
      </left>
      <right/>
      <top/>
      <bottom/>
      <diagonal/>
    </border>
    <border>
      <left style="thin">
        <color auto="1"/>
      </left>
      <right style="thick">
        <color auto="1"/>
      </right>
      <top style="thin">
        <color auto="1"/>
      </top>
      <bottom/>
      <diagonal/>
    </border>
    <border>
      <left style="thick">
        <color auto="1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8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ck">
        <color indexed="8"/>
      </right>
      <top/>
      <bottom/>
      <diagonal/>
    </border>
    <border>
      <left/>
      <right style="thick">
        <color auto="1"/>
      </right>
      <top/>
      <bottom/>
      <diagonal/>
    </border>
    <border>
      <left style="thick">
        <color auto="1"/>
      </left>
      <right/>
      <top/>
      <bottom style="thick">
        <color auto="1"/>
      </bottom>
      <diagonal/>
    </border>
    <border>
      <left/>
      <right style="thick">
        <color auto="1"/>
      </right>
      <top/>
      <bottom style="thick">
        <color auto="1"/>
      </bottom>
      <diagonal/>
    </border>
    <border>
      <left style="thin">
        <color indexed="8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ck">
        <color auto="1"/>
      </right>
      <top/>
      <bottom style="thin">
        <color indexed="64"/>
      </bottom>
      <diagonal/>
    </border>
    <border>
      <left/>
      <right style="thick">
        <color auto="1"/>
      </right>
      <top/>
      <bottom style="thin">
        <color indexed="64"/>
      </bottom>
      <diagonal/>
    </border>
    <border>
      <left/>
      <right style="thick">
        <color auto="1"/>
      </right>
      <top style="thin">
        <color indexed="64"/>
      </top>
      <bottom/>
      <diagonal/>
    </border>
    <border>
      <left style="thin">
        <color auto="1"/>
      </left>
      <right style="thin">
        <color indexed="64"/>
      </right>
      <top/>
      <bottom style="thick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ck">
        <color indexed="64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auto="1"/>
      </left>
      <right/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8"/>
      </top>
      <bottom/>
      <diagonal/>
    </border>
    <border>
      <left style="thin">
        <color indexed="64"/>
      </left>
      <right/>
      <top style="thin">
        <color indexed="8"/>
      </top>
      <bottom/>
      <diagonal/>
    </border>
    <border>
      <left style="thin">
        <color indexed="64"/>
      </left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8"/>
      </right>
      <top/>
      <bottom/>
      <diagonal/>
    </border>
    <border>
      <left style="thin">
        <color indexed="64"/>
      </left>
      <right style="thin">
        <color indexed="8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8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 style="thin">
        <color indexed="8"/>
      </right>
      <top style="thin">
        <color indexed="64"/>
      </top>
      <bottom/>
      <diagonal/>
    </border>
    <border>
      <left style="thick">
        <color indexed="8"/>
      </left>
      <right/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64"/>
      </top>
      <bottom/>
      <diagonal/>
    </border>
    <border>
      <left style="thin">
        <color indexed="8"/>
      </left>
      <right style="thick">
        <color indexed="8"/>
      </right>
      <top style="thin">
        <color indexed="64"/>
      </top>
      <bottom/>
      <diagonal/>
    </border>
    <border>
      <left style="thick">
        <color indexed="8"/>
      </left>
      <right/>
      <top style="thin">
        <color indexed="8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64"/>
      </left>
      <right/>
      <top style="thin">
        <color indexed="8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64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auto="1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indexed="64"/>
      </bottom>
      <diagonal/>
    </border>
    <border>
      <left style="thin">
        <color indexed="8"/>
      </left>
      <right/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8"/>
      </top>
      <bottom/>
      <diagonal/>
    </border>
    <border>
      <left style="thin">
        <color indexed="64"/>
      </left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auto="1"/>
      </left>
      <right style="thin">
        <color indexed="8"/>
      </right>
      <top style="thin">
        <color indexed="64"/>
      </top>
      <bottom/>
      <diagonal/>
    </border>
    <border>
      <left style="thin">
        <color auto="1"/>
      </left>
      <right style="thin">
        <color indexed="8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indexed="64"/>
      </bottom>
      <diagonal/>
    </border>
    <border>
      <left style="thin">
        <color auto="1"/>
      </left>
      <right style="thin">
        <color indexed="8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auto="1"/>
      </left>
      <right style="thin">
        <color indexed="8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auto="1"/>
      </left>
      <right style="thin">
        <color indexed="8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auto="1"/>
      </left>
      <right style="thin">
        <color indexed="8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auto="1"/>
      </left>
      <right/>
      <top style="thin">
        <color indexed="8"/>
      </top>
      <bottom style="thin">
        <color indexed="64"/>
      </bottom>
      <diagonal/>
    </border>
    <border>
      <left style="thin">
        <color indexed="8"/>
      </left>
      <right style="thick">
        <color indexed="8"/>
      </right>
      <top/>
      <bottom style="thin">
        <color indexed="64"/>
      </bottom>
      <diagonal/>
    </border>
    <border>
      <left style="thin">
        <color auto="1"/>
      </left>
      <right style="thin">
        <color indexed="8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8"/>
      </bottom>
      <diagonal/>
    </border>
    <border>
      <left style="thin">
        <color indexed="64"/>
      </left>
      <right/>
      <top style="thin">
        <color indexed="8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64"/>
      </bottom>
      <diagonal/>
    </border>
    <border>
      <left style="thin">
        <color auto="1"/>
      </left>
      <right/>
      <top style="thin">
        <color indexed="8"/>
      </top>
      <bottom style="thin">
        <color indexed="64"/>
      </bottom>
      <diagonal/>
    </border>
    <border>
      <left/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indexed="64"/>
      </bottom>
      <diagonal/>
    </border>
    <border>
      <left style="thick">
        <color indexed="64"/>
      </left>
      <right/>
      <top/>
      <bottom style="thin">
        <color indexed="8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8"/>
      </top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64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8"/>
      </top>
      <bottom style="thin">
        <color indexed="64"/>
      </bottom>
      <diagonal/>
    </border>
    <border>
      <left/>
      <right/>
      <top style="thin">
        <color indexed="8"/>
      </top>
      <bottom/>
      <diagonal/>
    </border>
    <border>
      <left style="thin">
        <color indexed="8"/>
      </left>
      <right style="thick">
        <color indexed="8"/>
      </right>
      <top/>
      <bottom style="thin">
        <color indexed="64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64"/>
      </top>
      <bottom/>
      <diagonal/>
    </border>
    <border>
      <left style="thin">
        <color indexed="8"/>
      </left>
      <right/>
      <top style="thin">
        <color indexed="64"/>
      </top>
      <bottom/>
      <diagonal/>
    </border>
    <border>
      <left/>
      <right style="thin">
        <color indexed="8"/>
      </right>
      <top style="thin">
        <color indexed="64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ck">
        <color auto="1"/>
      </right>
      <top/>
      <bottom/>
      <diagonal/>
    </border>
    <border>
      <left style="thin">
        <color indexed="8"/>
      </left>
      <right style="thin">
        <color auto="1"/>
      </right>
      <top/>
      <bottom style="thin">
        <color indexed="64"/>
      </bottom>
      <diagonal/>
    </border>
    <border>
      <left style="thin">
        <color auto="1"/>
      </left>
      <right style="thick">
        <color auto="1"/>
      </right>
      <top/>
      <bottom style="thin">
        <color indexed="64"/>
      </bottom>
      <diagonal/>
    </border>
    <border>
      <left style="thin">
        <color indexed="8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/>
      <right/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ck">
        <color indexed="8"/>
      </right>
      <top/>
      <bottom/>
      <diagonal/>
    </border>
    <border>
      <left style="thin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auto="1"/>
      </left>
      <right style="thin">
        <color indexed="8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indexed="64"/>
      </bottom>
      <diagonal/>
    </border>
    <border>
      <left/>
      <right/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ck">
        <color indexed="8"/>
      </right>
      <top/>
      <bottom style="thin">
        <color indexed="64"/>
      </bottom>
      <diagonal/>
    </border>
    <border>
      <left style="thin">
        <color auto="1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8"/>
      </right>
      <top/>
      <bottom/>
      <diagonal/>
    </border>
    <border>
      <left style="thin">
        <color indexed="64"/>
      </left>
      <right style="thin">
        <color indexed="8"/>
      </right>
      <top/>
      <bottom style="thin">
        <color indexed="64"/>
      </bottom>
      <diagonal/>
    </border>
    <border>
      <left/>
      <right/>
      <top style="thin">
        <color indexed="8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auto="1"/>
      </left>
      <right/>
      <top style="thin">
        <color indexed="8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64"/>
      </bottom>
      <diagonal/>
    </border>
    <border>
      <left/>
      <right/>
      <top style="thin">
        <color indexed="8"/>
      </top>
      <bottom/>
      <diagonal/>
    </border>
    <border>
      <left style="thin">
        <color auto="1"/>
      </left>
      <right style="thin">
        <color indexed="8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auto="1"/>
      </right>
      <top style="thin">
        <color indexed="8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8"/>
      </left>
      <right style="thin">
        <color indexed="64"/>
      </right>
      <top/>
      <bottom/>
      <diagonal/>
    </border>
    <border>
      <left style="thin">
        <color indexed="8"/>
      </left>
      <right/>
      <top style="thin">
        <color indexed="8"/>
      </top>
      <bottom style="thin">
        <color indexed="64"/>
      </bottom>
      <diagonal/>
    </border>
    <border>
      <left style="thin">
        <color indexed="8"/>
      </left>
      <right/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indexed="8"/>
      </top>
      <bottom/>
      <diagonal/>
    </border>
    <border>
      <left style="thin">
        <color auto="1"/>
      </left>
      <right style="thin">
        <color auto="1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indexed="64"/>
      </bottom>
      <diagonal/>
    </border>
    <border>
      <left style="thin">
        <color indexed="8"/>
      </left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 style="thin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64"/>
      </bottom>
      <diagonal/>
    </border>
    <border>
      <left/>
      <right style="thin">
        <color auto="1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64"/>
      </bottom>
      <diagonal/>
    </border>
    <border>
      <left/>
      <right style="thin">
        <color auto="1"/>
      </right>
      <top style="thin">
        <color indexed="64"/>
      </top>
      <bottom style="thin">
        <color indexed="8"/>
      </bottom>
      <diagonal/>
    </border>
    <border>
      <left style="thin">
        <color indexed="8"/>
      </left>
      <right/>
      <top style="thin">
        <color indexed="64"/>
      </top>
      <bottom/>
      <diagonal/>
    </border>
    <border>
      <left/>
      <right style="thin">
        <color auto="1"/>
      </right>
      <top style="thin">
        <color indexed="8"/>
      </top>
      <bottom style="thin">
        <color indexed="64"/>
      </bottom>
      <diagonal/>
    </border>
    <border>
      <left/>
      <right style="thin">
        <color indexed="64"/>
      </right>
      <top style="thin">
        <color indexed="8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indexed="64"/>
      </bottom>
      <diagonal/>
    </border>
    <border>
      <left/>
      <right/>
      <top style="thin">
        <color indexed="8"/>
      </top>
      <bottom/>
      <diagonal/>
    </border>
    <border>
      <left/>
      <right/>
      <top style="thin">
        <color indexed="8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64"/>
      </bottom>
      <diagonal/>
    </border>
    <border>
      <left style="thin">
        <color auto="1"/>
      </left>
      <right style="thin">
        <color indexed="8"/>
      </right>
      <top style="thin">
        <color auto="1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8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indexed="8"/>
      </right>
      <top style="thin">
        <color indexed="64"/>
      </top>
      <bottom/>
      <diagonal/>
    </border>
    <border>
      <left style="thin">
        <color indexed="64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indexed="8"/>
      </right>
      <top style="thin">
        <color indexed="64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8"/>
      </top>
      <bottom/>
      <diagonal/>
    </border>
    <border>
      <left style="thin">
        <color auto="1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8"/>
      </top>
      <bottom style="thin">
        <color indexed="64"/>
      </bottom>
      <diagonal/>
    </border>
    <border>
      <left style="thin">
        <color indexed="64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64"/>
      </bottom>
      <diagonal/>
    </border>
    <border>
      <left/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ck">
        <color auto="1"/>
      </left>
      <right/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ck">
        <color indexed="8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/>
      <top style="thin">
        <color indexed="64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64"/>
      </top>
      <bottom/>
      <diagonal/>
    </border>
    <border>
      <left/>
      <right/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8"/>
      </top>
      <bottom/>
      <diagonal/>
    </border>
    <border>
      <left style="thin">
        <color indexed="64"/>
      </left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8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64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64"/>
      </bottom>
      <diagonal/>
    </border>
    <border>
      <left style="thin">
        <color indexed="64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8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64"/>
      </bottom>
      <diagonal/>
    </border>
    <border>
      <left style="thin">
        <color indexed="8"/>
      </left>
      <right/>
      <top style="thin">
        <color indexed="64"/>
      </top>
      <bottom/>
      <diagonal/>
    </border>
  </borders>
  <cellStyleXfs count="18">
    <xf numFmtId="0" fontId="0" fillId="0" borderId="0"/>
    <xf numFmtId="0" fontId="4" fillId="0" borderId="0"/>
    <xf numFmtId="164" fontId="4" fillId="0" borderId="0" applyFill="0" applyBorder="0" applyAlignment="0" applyProtection="0"/>
    <xf numFmtId="0" fontId="5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6" fillId="0" borderId="0" applyNumberFormat="0" applyFill="0" applyBorder="0" applyAlignment="0" applyProtection="0"/>
    <xf numFmtId="0" fontId="9" fillId="0" borderId="0" applyNumberFormat="0" applyFill="0" applyBorder="0" applyAlignment="0" applyProtection="0">
      <alignment vertical="top"/>
      <protection locked="0"/>
    </xf>
    <xf numFmtId="0" fontId="6" fillId="0" borderId="0" applyNumberFormat="0" applyFill="0" applyBorder="0" applyAlignment="0" applyProtection="0"/>
  </cellStyleXfs>
  <cellXfs count="5030">
    <xf numFmtId="0" fontId="0" fillId="0" borderId="0" xfId="0"/>
    <xf numFmtId="174" fontId="16" fillId="0" borderId="0" xfId="1" applyNumberFormat="1" applyFont="1" applyFill="1" applyAlignment="1">
      <alignment horizontal="left"/>
    </xf>
    <xf numFmtId="0" fontId="17" fillId="0" borderId="0" xfId="1" applyFont="1" applyFill="1" applyAlignment="1">
      <alignment vertical="center"/>
    </xf>
    <xf numFmtId="0" fontId="11" fillId="0" borderId="0" xfId="1" applyFont="1" applyFill="1" applyAlignment="1">
      <alignment horizontal="left"/>
    </xf>
    <xf numFmtId="3" fontId="11" fillId="0" borderId="0" xfId="1" applyNumberFormat="1" applyFont="1" applyFill="1" applyAlignment="1">
      <alignment vertical="center"/>
    </xf>
    <xf numFmtId="0" fontId="19" fillId="0" borderId="0" xfId="1" applyFont="1" applyFill="1" applyAlignment="1">
      <alignment vertical="center"/>
    </xf>
    <xf numFmtId="0" fontId="16" fillId="0" borderId="0" xfId="1" applyFont="1" applyFill="1" applyAlignment="1">
      <alignment vertical="center"/>
    </xf>
    <xf numFmtId="22" fontId="17" fillId="0" borderId="0" xfId="1" applyNumberFormat="1" applyFont="1" applyFill="1"/>
    <xf numFmtId="0" fontId="17" fillId="0" borderId="0" xfId="1" applyFont="1" applyFill="1"/>
    <xf numFmtId="0" fontId="17" fillId="0" borderId="0" xfId="1" applyFont="1" applyFill="1" applyAlignment="1"/>
    <xf numFmtId="0" fontId="21" fillId="0" borderId="0" xfId="15" applyNumberFormat="1" applyFont="1" applyFill="1" applyBorder="1" applyAlignment="1" applyProtection="1"/>
    <xf numFmtId="0" fontId="22" fillId="0" borderId="0" xfId="1" applyFont="1" applyFill="1" applyAlignment="1">
      <alignment vertical="center"/>
    </xf>
    <xf numFmtId="0" fontId="23" fillId="0" borderId="0" xfId="1" applyFont="1" applyFill="1" applyAlignment="1">
      <alignment vertical="top"/>
    </xf>
    <xf numFmtId="0" fontId="24" fillId="0" borderId="0" xfId="1" applyFont="1" applyFill="1" applyAlignment="1"/>
    <xf numFmtId="0" fontId="25" fillId="0" borderId="0" xfId="15" applyNumberFormat="1" applyFont="1" applyFill="1" applyBorder="1" applyAlignment="1" applyProtection="1">
      <alignment vertical="center"/>
    </xf>
    <xf numFmtId="0" fontId="14" fillId="0" borderId="0" xfId="1" applyFont="1" applyFill="1" applyAlignment="1">
      <alignment vertical="center"/>
    </xf>
    <xf numFmtId="0" fontId="26" fillId="0" borderId="0" xfId="1" applyFont="1" applyFill="1" applyAlignment="1"/>
    <xf numFmtId="0" fontId="26" fillId="0" borderId="0" xfId="1" applyFont="1" applyFill="1" applyAlignment="1">
      <alignment vertical="top"/>
    </xf>
    <xf numFmtId="0" fontId="21" fillId="0" borderId="0" xfId="15" applyFont="1" applyFill="1" applyAlignment="1">
      <alignment vertical="center"/>
    </xf>
    <xf numFmtId="0" fontId="25" fillId="0" borderId="0" xfId="1" applyFont="1" applyFill="1" applyAlignment="1">
      <alignment vertical="center"/>
    </xf>
    <xf numFmtId="0" fontId="21" fillId="0" borderId="0" xfId="15" applyFont="1" applyFill="1"/>
    <xf numFmtId="0" fontId="29" fillId="0" borderId="0" xfId="1" applyFont="1" applyFill="1" applyBorder="1" applyAlignment="1">
      <alignment horizontal="left"/>
    </xf>
    <xf numFmtId="0" fontId="21" fillId="0" borderId="0" xfId="15" applyFont="1" applyFill="1" applyBorder="1" applyAlignment="1">
      <alignment horizontal="left"/>
    </xf>
    <xf numFmtId="0" fontId="22" fillId="0" borderId="0" xfId="1" applyFont="1" applyFill="1" applyAlignment="1">
      <alignment horizontal="left" vertical="center"/>
    </xf>
    <xf numFmtId="14" fontId="30" fillId="0" borderId="0" xfId="1" applyNumberFormat="1" applyFont="1" applyFill="1" applyAlignment="1">
      <alignment horizontal="center" vertical="center"/>
    </xf>
    <xf numFmtId="0" fontId="31" fillId="0" borderId="0" xfId="15" applyNumberFormat="1" applyFont="1" applyFill="1" applyBorder="1" applyAlignment="1" applyProtection="1">
      <alignment horizontal="center" vertical="center"/>
    </xf>
    <xf numFmtId="0" fontId="21" fillId="0" borderId="0" xfId="15" applyNumberFormat="1" applyFont="1" applyFill="1" applyBorder="1" applyAlignment="1" applyProtection="1">
      <alignment horizontal="center" vertical="center"/>
    </xf>
    <xf numFmtId="0" fontId="32" fillId="0" borderId="0" xfId="1" applyFont="1" applyFill="1" applyBorder="1" applyAlignment="1">
      <alignment horizontal="center" vertical="center"/>
    </xf>
    <xf numFmtId="0" fontId="32" fillId="0" borderId="0" xfId="1" applyFont="1" applyFill="1" applyBorder="1" applyAlignment="1">
      <alignment horizontal="center"/>
    </xf>
    <xf numFmtId="0" fontId="17" fillId="0" borderId="10" xfId="1" applyFont="1" applyFill="1" applyBorder="1" applyAlignment="1"/>
    <xf numFmtId="0" fontId="17" fillId="0" borderId="11" xfId="1" applyFont="1" applyFill="1" applyBorder="1"/>
    <xf numFmtId="0" fontId="33" fillId="0" borderId="12" xfId="1" applyFont="1" applyFill="1" applyBorder="1" applyAlignment="1">
      <alignment horizontal="center" vertical="center"/>
    </xf>
    <xf numFmtId="166" fontId="34" fillId="0" borderId="15" xfId="1" applyNumberFormat="1" applyFont="1" applyFill="1" applyBorder="1" applyAlignment="1">
      <alignment horizontal="center" vertical="center"/>
    </xf>
    <xf numFmtId="14" fontId="11" fillId="0" borderId="0" xfId="1" applyNumberFormat="1" applyFont="1" applyFill="1" applyAlignment="1">
      <alignment vertical="center"/>
    </xf>
    <xf numFmtId="0" fontId="17" fillId="0" borderId="17" xfId="1" applyFont="1" applyFill="1" applyBorder="1"/>
    <xf numFmtId="0" fontId="33" fillId="0" borderId="0" xfId="1" applyFont="1" applyFill="1" applyBorder="1" applyAlignment="1">
      <alignment horizontal="center" vertical="center"/>
    </xf>
    <xf numFmtId="166" fontId="33" fillId="0" borderId="300" xfId="1" applyNumberFormat="1" applyFont="1" applyFill="1" applyBorder="1" applyAlignment="1">
      <alignment horizontal="center" vertical="center"/>
    </xf>
    <xf numFmtId="167" fontId="35" fillId="0" borderId="259" xfId="1" applyNumberFormat="1" applyFont="1" applyFill="1" applyBorder="1" applyAlignment="1">
      <alignment horizontal="center" vertical="center"/>
    </xf>
    <xf numFmtId="167" fontId="35" fillId="0" borderId="279" xfId="1" applyNumberFormat="1" applyFont="1" applyFill="1" applyBorder="1" applyAlignment="1">
      <alignment horizontal="center" vertical="center"/>
    </xf>
    <xf numFmtId="167" fontId="35" fillId="0" borderId="300" xfId="1" applyNumberFormat="1" applyFont="1" applyFill="1" applyBorder="1" applyAlignment="1">
      <alignment horizontal="center" vertical="center"/>
    </xf>
    <xf numFmtId="167" fontId="12" fillId="0" borderId="300" xfId="1" applyNumberFormat="1" applyFont="1" applyFill="1" applyBorder="1" applyAlignment="1">
      <alignment horizontal="center" vertical="center"/>
    </xf>
    <xf numFmtId="168" fontId="35" fillId="0" borderId="259" xfId="1" applyNumberFormat="1" applyFont="1" applyFill="1" applyBorder="1" applyAlignment="1">
      <alignment horizontal="center" vertical="center"/>
    </xf>
    <xf numFmtId="168" fontId="35" fillId="0" borderId="300" xfId="1" applyNumberFormat="1" applyFont="1" applyFill="1" applyBorder="1" applyAlignment="1">
      <alignment horizontal="center" vertical="center"/>
    </xf>
    <xf numFmtId="3" fontId="35" fillId="0" borderId="259" xfId="1" applyNumberFormat="1" applyFont="1" applyFill="1" applyBorder="1" applyAlignment="1">
      <alignment horizontal="center" vertical="center"/>
    </xf>
    <xf numFmtId="3" fontId="35" fillId="0" borderId="279" xfId="1" applyNumberFormat="1" applyFont="1" applyFill="1" applyBorder="1" applyAlignment="1">
      <alignment horizontal="center" vertical="center"/>
    </xf>
    <xf numFmtId="0" fontId="33" fillId="0" borderId="8" xfId="1" applyFont="1" applyFill="1" applyBorder="1" applyAlignment="1">
      <alignment horizontal="center" vertical="center"/>
    </xf>
    <xf numFmtId="166" fontId="33" fillId="0" borderId="116" xfId="1" applyNumberFormat="1" applyFont="1" applyFill="1" applyBorder="1" applyAlignment="1">
      <alignment horizontal="center" vertical="center"/>
    </xf>
    <xf numFmtId="3" fontId="33" fillId="0" borderId="299" xfId="1" applyNumberFormat="1" applyFont="1" applyFill="1" applyBorder="1" applyAlignment="1">
      <alignment horizontal="center" vertical="center"/>
    </xf>
    <xf numFmtId="3" fontId="33" fillId="0" borderId="300" xfId="1" applyNumberFormat="1" applyFont="1" applyFill="1" applyBorder="1" applyAlignment="1">
      <alignment horizontal="center" vertical="center"/>
    </xf>
    <xf numFmtId="3" fontId="13" fillId="0" borderId="300" xfId="1" applyNumberFormat="1" applyFont="1" applyFill="1" applyBorder="1" applyAlignment="1">
      <alignment horizontal="center" vertical="center"/>
    </xf>
    <xf numFmtId="0" fontId="23" fillId="4" borderId="17" xfId="1" applyFont="1" applyFill="1" applyBorder="1" applyAlignment="1">
      <alignment horizontal="center" vertical="center"/>
    </xf>
    <xf numFmtId="3" fontId="17" fillId="4" borderId="0" xfId="1" applyNumberFormat="1" applyFont="1" applyFill="1" applyBorder="1" applyAlignment="1">
      <alignment horizontal="center" vertical="center"/>
    </xf>
    <xf numFmtId="3" fontId="38" fillId="4" borderId="300" xfId="1" applyNumberFormat="1" applyFont="1" applyFill="1" applyBorder="1" applyAlignment="1">
      <alignment horizontal="left" vertical="center"/>
    </xf>
    <xf numFmtId="3" fontId="17" fillId="4" borderId="300" xfId="1" applyNumberFormat="1" applyFont="1" applyFill="1" applyBorder="1" applyAlignment="1">
      <alignment horizontal="center" vertical="center"/>
    </xf>
    <xf numFmtId="0" fontId="17" fillId="4" borderId="300" xfId="1" applyFont="1" applyFill="1" applyBorder="1" applyAlignment="1">
      <alignment horizontal="center" vertical="center"/>
    </xf>
    <xf numFmtId="172" fontId="38" fillId="4" borderId="300" xfId="1" applyNumberFormat="1" applyFont="1" applyFill="1" applyBorder="1" applyAlignment="1">
      <alignment horizontal="center" vertical="center"/>
    </xf>
    <xf numFmtId="14" fontId="38" fillId="4" borderId="300" xfId="1" applyNumberFormat="1" applyFont="1" applyFill="1" applyBorder="1" applyAlignment="1">
      <alignment horizontal="center" vertical="center"/>
    </xf>
    <xf numFmtId="2" fontId="38" fillId="4" borderId="262" xfId="1" applyNumberFormat="1" applyFont="1" applyFill="1" applyBorder="1" applyAlignment="1">
      <alignment horizontal="center" vertical="center"/>
    </xf>
    <xf numFmtId="0" fontId="11" fillId="0" borderId="0" xfId="1" applyFont="1" applyFill="1" applyAlignment="1">
      <alignment horizontal="center" vertical="center"/>
    </xf>
    <xf numFmtId="0" fontId="23" fillId="4" borderId="25" xfId="1" applyFont="1" applyFill="1" applyBorder="1" applyAlignment="1">
      <alignment horizontal="center" vertical="center"/>
    </xf>
    <xf numFmtId="166" fontId="33" fillId="0" borderId="243" xfId="1" applyNumberFormat="1" applyFont="1" applyFill="1" applyBorder="1" applyAlignment="1">
      <alignment horizontal="center" vertical="center"/>
    </xf>
    <xf numFmtId="3" fontId="17" fillId="4" borderId="8" xfId="1" applyNumberFormat="1" applyFont="1" applyFill="1" applyBorder="1" applyAlignment="1">
      <alignment horizontal="center" vertical="center"/>
    </xf>
    <xf numFmtId="3" fontId="39" fillId="4" borderId="305" xfId="1" applyNumberFormat="1" applyFont="1" applyFill="1" applyBorder="1" applyAlignment="1">
      <alignment horizontal="center" vertical="center"/>
    </xf>
    <xf numFmtId="3" fontId="38" fillId="4" borderId="304" xfId="1" applyNumberFormat="1" applyFont="1" applyFill="1" applyBorder="1" applyAlignment="1">
      <alignment horizontal="left" vertical="center"/>
    </xf>
    <xf numFmtId="0" fontId="17" fillId="4" borderId="304" xfId="1" applyFont="1" applyFill="1" applyBorder="1" applyAlignment="1">
      <alignment horizontal="center" vertical="center"/>
    </xf>
    <xf numFmtId="172" fontId="38" fillId="4" borderId="304" xfId="1" applyNumberFormat="1" applyFont="1" applyFill="1" applyBorder="1" applyAlignment="1">
      <alignment horizontal="center" vertical="center"/>
    </xf>
    <xf numFmtId="14" fontId="38" fillId="4" borderId="304" xfId="1" applyNumberFormat="1" applyFont="1" applyFill="1" applyBorder="1" applyAlignment="1">
      <alignment horizontal="center" vertical="center"/>
    </xf>
    <xf numFmtId="2" fontId="38" fillId="4" borderId="307" xfId="1" applyNumberFormat="1" applyFont="1" applyFill="1" applyBorder="1" applyAlignment="1">
      <alignment horizontal="center" vertical="center"/>
    </xf>
    <xf numFmtId="0" fontId="23" fillId="4" borderId="286" xfId="1" applyFont="1" applyFill="1" applyBorder="1" applyAlignment="1">
      <alignment horizontal="center" vertical="center"/>
    </xf>
    <xf numFmtId="0" fontId="23" fillId="4" borderId="21" xfId="1" applyFont="1" applyFill="1" applyBorder="1" applyAlignment="1">
      <alignment horizontal="center" vertical="center"/>
    </xf>
    <xf numFmtId="3" fontId="39" fillId="4" borderId="178" xfId="1" applyNumberFormat="1" applyFont="1" applyFill="1" applyBorder="1" applyAlignment="1">
      <alignment horizontal="center" vertical="center"/>
    </xf>
    <xf numFmtId="3" fontId="38" fillId="4" borderId="300" xfId="1" applyNumberFormat="1" applyFont="1" applyFill="1" applyBorder="1" applyAlignment="1">
      <alignment horizontal="center" vertical="center"/>
    </xf>
    <xf numFmtId="3" fontId="17" fillId="4" borderId="326" xfId="1" applyNumberFormat="1" applyFont="1" applyFill="1" applyBorder="1" applyAlignment="1">
      <alignment horizontal="center" vertical="center"/>
    </xf>
    <xf numFmtId="3" fontId="38" fillId="4" borderId="325" xfId="1" applyNumberFormat="1" applyFont="1" applyFill="1" applyBorder="1" applyAlignment="1">
      <alignment horizontal="left" vertical="center"/>
    </xf>
    <xf numFmtId="3" fontId="38" fillId="4" borderId="325" xfId="1" applyNumberFormat="1" applyFont="1" applyFill="1" applyBorder="1" applyAlignment="1">
      <alignment horizontal="center" vertical="center"/>
    </xf>
    <xf numFmtId="0" fontId="17" fillId="4" borderId="325" xfId="1" applyFont="1" applyFill="1" applyBorder="1" applyAlignment="1">
      <alignment horizontal="center" vertical="center"/>
    </xf>
    <xf numFmtId="172" fontId="38" fillId="4" borderId="325" xfId="1" applyNumberFormat="1" applyFont="1" applyFill="1" applyBorder="1" applyAlignment="1">
      <alignment horizontal="center" vertical="center"/>
    </xf>
    <xf numFmtId="14" fontId="38" fillId="4" borderId="325" xfId="1" applyNumberFormat="1" applyFont="1" applyFill="1" applyBorder="1" applyAlignment="1">
      <alignment horizontal="center" vertical="center"/>
    </xf>
    <xf numFmtId="2" fontId="38" fillId="4" borderId="318" xfId="1" applyNumberFormat="1" applyFont="1" applyFill="1" applyBorder="1" applyAlignment="1">
      <alignment horizontal="center" vertical="center"/>
    </xf>
    <xf numFmtId="0" fontId="11" fillId="0" borderId="0" xfId="1" applyFont="1" applyAlignment="1">
      <alignment horizontal="center" vertical="center"/>
    </xf>
    <xf numFmtId="3" fontId="38" fillId="4" borderId="301" xfId="1" applyNumberFormat="1" applyFont="1" applyFill="1" applyBorder="1" applyAlignment="1">
      <alignment horizontal="left" vertical="center"/>
    </xf>
    <xf numFmtId="3" fontId="38" fillId="4" borderId="301" xfId="1" applyNumberFormat="1" applyFont="1" applyFill="1" applyBorder="1" applyAlignment="1">
      <alignment horizontal="center" vertical="center"/>
    </xf>
    <xf numFmtId="0" fontId="17" fillId="4" borderId="301" xfId="1" applyFont="1" applyFill="1" applyBorder="1" applyAlignment="1">
      <alignment horizontal="center" vertical="center"/>
    </xf>
    <xf numFmtId="172" fontId="38" fillId="4" borderId="301" xfId="1" applyNumberFormat="1" applyFont="1" applyFill="1" applyBorder="1" applyAlignment="1">
      <alignment horizontal="center" vertical="center"/>
    </xf>
    <xf numFmtId="14" fontId="38" fillId="4" borderId="301" xfId="1" applyNumberFormat="1" applyFont="1" applyFill="1" applyBorder="1" applyAlignment="1">
      <alignment horizontal="center" vertical="center"/>
    </xf>
    <xf numFmtId="2" fontId="38" fillId="4" borderId="292" xfId="1" applyNumberFormat="1" applyFont="1" applyFill="1" applyBorder="1" applyAlignment="1">
      <alignment horizontal="center" vertical="center"/>
    </xf>
    <xf numFmtId="3" fontId="38" fillId="4" borderId="331" xfId="1" applyNumberFormat="1" applyFont="1" applyFill="1" applyBorder="1" applyAlignment="1">
      <alignment horizontal="left" vertical="center"/>
    </xf>
    <xf numFmtId="172" fontId="38" fillId="4" borderId="331" xfId="1" applyNumberFormat="1" applyFont="1" applyFill="1" applyBorder="1" applyAlignment="1">
      <alignment horizontal="center" vertical="center"/>
    </xf>
    <xf numFmtId="14" fontId="38" fillId="4" borderId="331" xfId="1" applyNumberFormat="1" applyFont="1" applyFill="1" applyBorder="1" applyAlignment="1">
      <alignment horizontal="center" vertical="center"/>
    </xf>
    <xf numFmtId="2" fontId="38" fillId="4" borderId="306" xfId="1" applyNumberFormat="1" applyFont="1" applyFill="1" applyBorder="1" applyAlignment="1">
      <alignment horizontal="center" vertical="center"/>
    </xf>
    <xf numFmtId="3" fontId="17" fillId="4" borderId="327" xfId="1" applyNumberFormat="1" applyFont="1" applyFill="1" applyBorder="1" applyAlignment="1">
      <alignment horizontal="center" vertical="center"/>
    </xf>
    <xf numFmtId="3" fontId="17" fillId="4" borderId="301" xfId="1" applyNumberFormat="1" applyFont="1" applyFill="1" applyBorder="1" applyAlignment="1">
      <alignment horizontal="center" vertical="center"/>
    </xf>
    <xf numFmtId="3" fontId="38" fillId="4" borderId="299" xfId="1" applyNumberFormat="1" applyFont="1" applyFill="1" applyBorder="1" applyAlignment="1">
      <alignment horizontal="center" vertical="center"/>
    </xf>
    <xf numFmtId="3" fontId="38" fillId="4" borderId="299" xfId="1" applyNumberFormat="1" applyFont="1" applyFill="1" applyBorder="1" applyAlignment="1">
      <alignment horizontal="left" vertical="center"/>
    </xf>
    <xf numFmtId="0" fontId="17" fillId="4" borderId="299" xfId="1" applyFont="1" applyFill="1" applyBorder="1" applyAlignment="1">
      <alignment horizontal="center" vertical="center"/>
    </xf>
    <xf numFmtId="172" fontId="38" fillId="4" borderId="299" xfId="1" applyNumberFormat="1" applyFont="1" applyFill="1" applyBorder="1" applyAlignment="1">
      <alignment horizontal="center" vertical="center"/>
    </xf>
    <xf numFmtId="14" fontId="38" fillId="4" borderId="299" xfId="1" applyNumberFormat="1" applyFont="1" applyFill="1" applyBorder="1" applyAlignment="1">
      <alignment horizontal="center" vertical="center"/>
    </xf>
    <xf numFmtId="3" fontId="41" fillId="4" borderId="243" xfId="1" applyNumberFormat="1" applyFont="1" applyFill="1" applyBorder="1" applyAlignment="1">
      <alignment horizontal="center" vertical="center"/>
    </xf>
    <xf numFmtId="0" fontId="23" fillId="24" borderId="17" xfId="1" applyFont="1" applyFill="1" applyBorder="1" applyAlignment="1">
      <alignment horizontal="center" vertical="center"/>
    </xf>
    <xf numFmtId="2" fontId="38" fillId="24" borderId="262" xfId="1" applyNumberFormat="1" applyFont="1" applyFill="1" applyBorder="1" applyAlignment="1">
      <alignment horizontal="center" vertical="center"/>
    </xf>
    <xf numFmtId="3" fontId="39" fillId="24" borderId="243" xfId="1" applyNumberFormat="1" applyFont="1" applyFill="1" applyBorder="1" applyAlignment="1">
      <alignment horizontal="center" vertical="center"/>
    </xf>
    <xf numFmtId="0" fontId="17" fillId="24" borderId="243" xfId="1" applyFont="1" applyFill="1" applyBorder="1" applyAlignment="1">
      <alignment horizontal="center" vertical="center"/>
    </xf>
    <xf numFmtId="2" fontId="38" fillId="24" borderId="292" xfId="1" applyNumberFormat="1" applyFont="1" applyFill="1" applyBorder="1" applyAlignment="1">
      <alignment horizontal="center" vertical="center"/>
    </xf>
    <xf numFmtId="0" fontId="23" fillId="24" borderId="25" xfId="1" applyFont="1" applyFill="1" applyBorder="1" applyAlignment="1">
      <alignment horizontal="center" vertical="center"/>
    </xf>
    <xf numFmtId="2" fontId="38" fillId="24" borderId="306" xfId="1" applyNumberFormat="1" applyFont="1" applyFill="1" applyBorder="1" applyAlignment="1">
      <alignment horizontal="center" vertical="center"/>
    </xf>
    <xf numFmtId="3" fontId="17" fillId="24" borderId="27" xfId="1" applyNumberFormat="1" applyFont="1" applyFill="1" applyBorder="1" applyAlignment="1">
      <alignment horizontal="center" vertical="center"/>
    </xf>
    <xf numFmtId="3" fontId="17" fillId="24" borderId="99" xfId="1" applyNumberFormat="1" applyFont="1" applyFill="1" applyBorder="1" applyAlignment="1">
      <alignment horizontal="center" vertical="center"/>
    </xf>
    <xf numFmtId="0" fontId="43" fillId="24" borderId="17" xfId="1" applyFont="1" applyFill="1" applyBorder="1" applyAlignment="1">
      <alignment horizontal="center" vertical="center"/>
    </xf>
    <xf numFmtId="3" fontId="17" fillId="24" borderId="326" xfId="1" applyNumberFormat="1" applyFont="1" applyFill="1" applyBorder="1" applyAlignment="1">
      <alignment horizontal="center" vertical="center"/>
    </xf>
    <xf numFmtId="3" fontId="39" fillId="24" borderId="326" xfId="1" applyNumberFormat="1" applyFont="1" applyFill="1" applyBorder="1" applyAlignment="1">
      <alignment horizontal="center" vertical="center"/>
    </xf>
    <xf numFmtId="3" fontId="39" fillId="24" borderId="325" xfId="1" applyNumberFormat="1" applyFont="1" applyFill="1" applyBorder="1" applyAlignment="1">
      <alignment horizontal="center" vertical="center"/>
    </xf>
    <xf numFmtId="3" fontId="17" fillId="24" borderId="325" xfId="1" applyNumberFormat="1" applyFont="1" applyFill="1" applyBorder="1" applyAlignment="1">
      <alignment horizontal="center" vertical="center"/>
    </xf>
    <xf numFmtId="0" fontId="17" fillId="24" borderId="325" xfId="1" applyFont="1" applyFill="1" applyBorder="1" applyAlignment="1">
      <alignment horizontal="center" vertical="center"/>
    </xf>
    <xf numFmtId="2" fontId="38" fillId="24" borderId="318" xfId="1" applyNumberFormat="1" applyFont="1" applyFill="1" applyBorder="1" applyAlignment="1">
      <alignment horizontal="center" vertical="center"/>
    </xf>
    <xf numFmtId="0" fontId="23" fillId="24" borderId="338" xfId="1" applyFont="1" applyFill="1" applyBorder="1" applyAlignment="1">
      <alignment horizontal="center" vertical="center"/>
    </xf>
    <xf numFmtId="3" fontId="39" fillId="24" borderId="332" xfId="1" applyNumberFormat="1" applyFont="1" applyFill="1" applyBorder="1" applyAlignment="1">
      <alignment horizontal="center" vertical="center"/>
    </xf>
    <xf numFmtId="3" fontId="38" fillId="24" borderId="332" xfId="1" applyNumberFormat="1" applyFont="1" applyFill="1" applyBorder="1" applyAlignment="1">
      <alignment horizontal="center" vertical="center"/>
    </xf>
    <xf numFmtId="0" fontId="17" fillId="24" borderId="332" xfId="1" applyFont="1" applyFill="1" applyBorder="1" applyAlignment="1">
      <alignment horizontal="center" vertical="center"/>
    </xf>
    <xf numFmtId="14" fontId="38" fillId="24" borderId="332" xfId="1" applyNumberFormat="1" applyFont="1" applyFill="1" applyBorder="1" applyAlignment="1">
      <alignment horizontal="center" vertical="center"/>
    </xf>
    <xf numFmtId="2" fontId="38" fillId="24" borderId="339" xfId="1" applyNumberFormat="1" applyFont="1" applyFill="1" applyBorder="1" applyAlignment="1">
      <alignment horizontal="center" vertical="center"/>
    </xf>
    <xf numFmtId="3" fontId="38" fillId="24" borderId="331" xfId="1" applyNumberFormat="1" applyFont="1" applyFill="1" applyBorder="1" applyAlignment="1">
      <alignment horizontal="center" vertical="center"/>
    </xf>
    <xf numFmtId="3" fontId="38" fillId="24" borderId="331" xfId="1" applyNumberFormat="1" applyFont="1" applyFill="1" applyBorder="1" applyAlignment="1">
      <alignment horizontal="left" vertical="center"/>
    </xf>
    <xf numFmtId="0" fontId="17" fillId="24" borderId="331" xfId="1" applyFont="1" applyFill="1" applyBorder="1" applyAlignment="1">
      <alignment horizontal="center" vertical="center"/>
    </xf>
    <xf numFmtId="172" fontId="38" fillId="24" borderId="331" xfId="1" applyNumberFormat="1" applyFont="1" applyFill="1" applyBorder="1" applyAlignment="1">
      <alignment horizontal="center" vertical="center"/>
    </xf>
    <xf numFmtId="14" fontId="38" fillId="24" borderId="331" xfId="1" applyNumberFormat="1" applyFont="1" applyFill="1" applyBorder="1" applyAlignment="1">
      <alignment horizontal="center" vertical="center"/>
    </xf>
    <xf numFmtId="3" fontId="38" fillId="24" borderId="325" xfId="1" applyNumberFormat="1" applyFont="1" applyFill="1" applyBorder="1" applyAlignment="1">
      <alignment horizontal="center" vertical="center"/>
    </xf>
    <xf numFmtId="3" fontId="38" fillId="24" borderId="325" xfId="1" applyNumberFormat="1" applyFont="1" applyFill="1" applyBorder="1" applyAlignment="1">
      <alignment horizontal="left" vertical="center"/>
    </xf>
    <xf numFmtId="172" fontId="38" fillId="24" borderId="325" xfId="1" applyNumberFormat="1" applyFont="1" applyFill="1" applyBorder="1" applyAlignment="1">
      <alignment horizontal="center" vertical="center"/>
    </xf>
    <xf numFmtId="14" fontId="38" fillId="24" borderId="325" xfId="1" applyNumberFormat="1" applyFont="1" applyFill="1" applyBorder="1" applyAlignment="1">
      <alignment horizontal="center" vertical="center"/>
    </xf>
    <xf numFmtId="0" fontId="23" fillId="35" borderId="21" xfId="1" applyFont="1" applyFill="1" applyBorder="1" applyAlignment="1">
      <alignment horizontal="center" vertical="center"/>
    </xf>
    <xf numFmtId="166" fontId="33" fillId="0" borderId="320" xfId="1" applyNumberFormat="1" applyFont="1" applyFill="1" applyBorder="1" applyAlignment="1">
      <alignment horizontal="center" vertical="center"/>
    </xf>
    <xf numFmtId="0" fontId="23" fillId="35" borderId="28" xfId="1" applyFont="1" applyFill="1" applyBorder="1" applyAlignment="1">
      <alignment horizontal="center" vertical="center"/>
    </xf>
    <xf numFmtId="2" fontId="38" fillId="35" borderId="318" xfId="1" applyNumberFormat="1" applyFont="1" applyFill="1" applyBorder="1" applyAlignment="1">
      <alignment horizontal="center" vertical="center"/>
    </xf>
    <xf numFmtId="0" fontId="23" fillId="35" borderId="17" xfId="1" applyFont="1" applyFill="1" applyBorder="1" applyAlignment="1">
      <alignment horizontal="center" vertical="center"/>
    </xf>
    <xf numFmtId="3" fontId="38" fillId="35" borderId="325" xfId="1" applyNumberFormat="1" applyFont="1" applyFill="1" applyBorder="1" applyAlignment="1">
      <alignment horizontal="left" vertical="center"/>
    </xf>
    <xf numFmtId="0" fontId="17" fillId="35" borderId="325" xfId="1" applyFont="1" applyFill="1" applyBorder="1" applyAlignment="1">
      <alignment horizontal="center" vertical="center"/>
    </xf>
    <xf numFmtId="172" fontId="38" fillId="35" borderId="325" xfId="1" applyNumberFormat="1" applyFont="1" applyFill="1" applyBorder="1" applyAlignment="1">
      <alignment horizontal="center" vertical="center"/>
    </xf>
    <xf numFmtId="14" fontId="38" fillId="35" borderId="325" xfId="1" applyNumberFormat="1" applyFont="1" applyFill="1" applyBorder="1" applyAlignment="1">
      <alignment horizontal="center" vertical="center"/>
    </xf>
    <xf numFmtId="0" fontId="17" fillId="0" borderId="0" xfId="1" applyFont="1"/>
    <xf numFmtId="0" fontId="17" fillId="0" borderId="0" xfId="1" applyFont="1" applyAlignment="1"/>
    <xf numFmtId="0" fontId="44" fillId="0" borderId="0" xfId="1" applyFont="1" applyFill="1" applyBorder="1" applyAlignment="1">
      <alignment horizontal="left" vertical="center"/>
    </xf>
    <xf numFmtId="0" fontId="43" fillId="0" borderId="0" xfId="1" applyFont="1" applyFill="1" applyBorder="1" applyAlignment="1">
      <alignment horizontal="left" vertical="center"/>
    </xf>
    <xf numFmtId="0" fontId="45" fillId="0" borderId="0" xfId="1" applyFont="1" applyFill="1" applyBorder="1" applyAlignment="1">
      <alignment horizontal="left" vertical="center"/>
    </xf>
    <xf numFmtId="174" fontId="16" fillId="0" borderId="0" xfId="1" applyNumberFormat="1" applyFont="1" applyFill="1" applyAlignment="1">
      <alignment horizontal="left" vertical="top"/>
    </xf>
    <xf numFmtId="165" fontId="21" fillId="0" borderId="0" xfId="15" applyNumberFormat="1" applyFont="1" applyFill="1" applyAlignment="1">
      <alignment horizontal="center" vertical="top"/>
    </xf>
    <xf numFmtId="3" fontId="21" fillId="0" borderId="0" xfId="15" applyNumberFormat="1" applyFont="1" applyFill="1" applyAlignment="1">
      <alignment horizontal="center" vertical="top"/>
    </xf>
    <xf numFmtId="0" fontId="49" fillId="0" borderId="128" xfId="0" applyFont="1" applyBorder="1"/>
    <xf numFmtId="0" fontId="50" fillId="0" borderId="131" xfId="1" applyFont="1" applyFill="1" applyBorder="1" applyAlignment="1">
      <alignment horizontal="right" vertical="center"/>
    </xf>
    <xf numFmtId="0" fontId="50" fillId="0" borderId="132" xfId="1" applyFont="1" applyFill="1" applyBorder="1" applyAlignment="1">
      <alignment horizontal="right" vertical="center"/>
    </xf>
    <xf numFmtId="0" fontId="21" fillId="0" borderId="64" xfId="15" applyFont="1" applyFill="1" applyBorder="1" applyAlignment="1">
      <alignment horizontal="center" vertical="center"/>
    </xf>
    <xf numFmtId="0" fontId="21" fillId="0" borderId="64" xfId="15" quotePrefix="1" applyFont="1" applyFill="1" applyBorder="1" applyAlignment="1">
      <alignment horizontal="center" vertical="center"/>
    </xf>
    <xf numFmtId="3" fontId="50" fillId="0" borderId="134" xfId="1" applyNumberFormat="1" applyFont="1" applyFill="1" applyBorder="1" applyAlignment="1">
      <alignment horizontal="left" vertical="center"/>
    </xf>
    <xf numFmtId="0" fontId="17" fillId="0" borderId="127" xfId="15" applyFont="1" applyFill="1" applyBorder="1" applyAlignment="1">
      <alignment horizontal="center" vertical="center"/>
    </xf>
    <xf numFmtId="0" fontId="17" fillId="0" borderId="102" xfId="15" applyFont="1" applyFill="1" applyBorder="1" applyAlignment="1">
      <alignment horizontal="center" vertical="center"/>
    </xf>
    <xf numFmtId="0" fontId="17" fillId="0" borderId="127" xfId="15" quotePrefix="1" applyFont="1" applyFill="1" applyBorder="1" applyAlignment="1">
      <alignment horizontal="center" vertical="center"/>
    </xf>
    <xf numFmtId="3" fontId="50" fillId="0" borderId="134" xfId="1" applyNumberFormat="1" applyFont="1" applyFill="1" applyBorder="1" applyAlignment="1">
      <alignment horizontal="center" vertical="center"/>
    </xf>
    <xf numFmtId="3" fontId="57" fillId="0" borderId="150" xfId="17" applyNumberFormat="1" applyFont="1" applyFill="1" applyBorder="1" applyAlignment="1">
      <alignment horizontal="center" vertical="center"/>
    </xf>
    <xf numFmtId="3" fontId="45" fillId="0" borderId="39" xfId="1" applyNumberFormat="1" applyFont="1" applyFill="1" applyBorder="1" applyAlignment="1">
      <alignment horizontal="left" vertical="center"/>
    </xf>
    <xf numFmtId="3" fontId="58" fillId="0" borderId="165" xfId="1" applyNumberFormat="1" applyFont="1" applyFill="1" applyBorder="1" applyAlignment="1">
      <alignment horizontal="left" vertical="center"/>
    </xf>
    <xf numFmtId="166" fontId="58" fillId="0" borderId="160" xfId="1" applyNumberFormat="1" applyFont="1" applyBorder="1" applyAlignment="1">
      <alignment horizontal="center" vertical="center"/>
    </xf>
    <xf numFmtId="171" fontId="58" fillId="0" borderId="316" xfId="1" quotePrefix="1" applyNumberFormat="1" applyFont="1" applyBorder="1" applyAlignment="1">
      <alignment horizontal="center" vertical="center"/>
    </xf>
    <xf numFmtId="3" fontId="34" fillId="0" borderId="102" xfId="1" applyNumberFormat="1" applyFont="1" applyFill="1" applyBorder="1" applyAlignment="1">
      <alignment horizontal="center" vertical="center"/>
    </xf>
    <xf numFmtId="3" fontId="34" fillId="0" borderId="127" xfId="1" applyNumberFormat="1" applyFont="1" applyFill="1" applyBorder="1" applyAlignment="1">
      <alignment horizontal="center" vertical="center"/>
    </xf>
    <xf numFmtId="0" fontId="59" fillId="0" borderId="51" xfId="1" applyFont="1" applyFill="1" applyBorder="1" applyAlignment="1">
      <alignment horizontal="center"/>
    </xf>
    <xf numFmtId="3" fontId="17" fillId="0" borderId="316" xfId="1" applyNumberFormat="1" applyFont="1" applyBorder="1" applyAlignment="1">
      <alignment horizontal="center" vertical="center"/>
    </xf>
    <xf numFmtId="3" fontId="45" fillId="0" borderId="4" xfId="1" applyNumberFormat="1" applyFont="1" applyFill="1" applyBorder="1" applyAlignment="1">
      <alignment horizontal="center" vertical="center"/>
    </xf>
    <xf numFmtId="3" fontId="45" fillId="0" borderId="126" xfId="1" applyNumberFormat="1" applyFont="1" applyFill="1" applyBorder="1" applyAlignment="1">
      <alignment horizontal="center" vertical="center"/>
    </xf>
    <xf numFmtId="3" fontId="58" fillId="0" borderId="55" xfId="1" applyNumberFormat="1" applyFont="1" applyFill="1" applyBorder="1" applyAlignment="1">
      <alignment horizontal="center" vertical="center"/>
    </xf>
    <xf numFmtId="0" fontId="46" fillId="0" borderId="51" xfId="1" applyFont="1" applyFill="1" applyBorder="1" applyAlignment="1">
      <alignment horizontal="left" vertical="center"/>
    </xf>
    <xf numFmtId="3" fontId="45" fillId="0" borderId="165" xfId="1" applyNumberFormat="1" applyFont="1" applyFill="1" applyBorder="1" applyAlignment="1">
      <alignment horizontal="center" vertical="center"/>
    </xf>
    <xf numFmtId="3" fontId="45" fillId="0" borderId="145" xfId="1" applyNumberFormat="1" applyFont="1" applyFill="1" applyBorder="1" applyAlignment="1">
      <alignment horizontal="center" vertical="center"/>
    </xf>
    <xf numFmtId="3" fontId="45" fillId="0" borderId="144" xfId="1" applyNumberFormat="1" applyFont="1" applyFill="1" applyBorder="1" applyAlignment="1">
      <alignment horizontal="center" vertical="center"/>
    </xf>
    <xf numFmtId="3" fontId="45" fillId="0" borderId="55" xfId="1" applyNumberFormat="1" applyFont="1" applyFill="1" applyBorder="1" applyAlignment="1">
      <alignment horizontal="center" vertical="center"/>
    </xf>
    <xf numFmtId="0" fontId="46" fillId="0" borderId="8" xfId="1" applyFont="1" applyFill="1" applyBorder="1" applyAlignment="1">
      <alignment horizontal="left" vertical="center"/>
    </xf>
    <xf numFmtId="3" fontId="45" fillId="0" borderId="8" xfId="1" applyNumberFormat="1" applyFont="1" applyFill="1" applyBorder="1" applyAlignment="1">
      <alignment horizontal="center" vertical="center"/>
    </xf>
    <xf numFmtId="3" fontId="45" fillId="0" borderId="146" xfId="1" applyNumberFormat="1" applyFont="1" applyFill="1" applyBorder="1" applyAlignment="1">
      <alignment horizontal="center" vertical="center"/>
    </xf>
    <xf numFmtId="3" fontId="45" fillId="0" borderId="127" xfId="1" applyNumberFormat="1" applyFont="1" applyFill="1" applyBorder="1" applyAlignment="1">
      <alignment horizontal="center" vertical="center"/>
    </xf>
    <xf numFmtId="3" fontId="45" fillId="0" borderId="0" xfId="1" applyNumberFormat="1" applyFont="1" applyFill="1" applyBorder="1" applyAlignment="1">
      <alignment horizontal="center" vertical="center"/>
    </xf>
    <xf numFmtId="0" fontId="46" fillId="0" borderId="143" xfId="1" applyFont="1" applyFill="1" applyBorder="1" applyAlignment="1">
      <alignment horizontal="left" vertical="center"/>
    </xf>
    <xf numFmtId="3" fontId="45" fillId="0" borderId="143" xfId="1" applyNumberFormat="1" applyFont="1" applyFill="1" applyBorder="1" applyAlignment="1">
      <alignment horizontal="center" vertical="center"/>
    </xf>
    <xf numFmtId="3" fontId="45" fillId="0" borderId="125" xfId="1" applyNumberFormat="1" applyFont="1" applyFill="1" applyBorder="1" applyAlignment="1">
      <alignment horizontal="center" vertical="center"/>
    </xf>
    <xf numFmtId="3" fontId="45" fillId="0" borderId="136" xfId="1" applyNumberFormat="1" applyFont="1" applyFill="1" applyBorder="1" applyAlignment="1">
      <alignment horizontal="center" vertical="center"/>
    </xf>
    <xf numFmtId="3" fontId="45" fillId="0" borderId="124" xfId="1" applyNumberFormat="1" applyFont="1" applyFill="1" applyBorder="1" applyAlignment="1">
      <alignment horizontal="center" vertical="center"/>
    </xf>
    <xf numFmtId="3" fontId="45" fillId="0" borderId="154" xfId="1" applyNumberFormat="1" applyFont="1" applyFill="1" applyBorder="1" applyAlignment="1">
      <alignment horizontal="center" vertical="center"/>
    </xf>
    <xf numFmtId="3" fontId="45" fillId="0" borderId="155" xfId="1" applyNumberFormat="1" applyFont="1" applyFill="1" applyBorder="1" applyAlignment="1">
      <alignment horizontal="center" vertical="center"/>
    </xf>
    <xf numFmtId="3" fontId="45" fillId="0" borderId="162" xfId="1" applyNumberFormat="1" applyFont="1" applyFill="1" applyBorder="1" applyAlignment="1">
      <alignment horizontal="center" vertical="center"/>
    </xf>
    <xf numFmtId="0" fontId="46" fillId="0" borderId="143" xfId="1" applyFont="1" applyFill="1" applyBorder="1" applyAlignment="1">
      <alignment horizontal="center"/>
    </xf>
    <xf numFmtId="3" fontId="45" fillId="0" borderId="137" xfId="1" applyNumberFormat="1" applyFont="1" applyFill="1" applyBorder="1" applyAlignment="1">
      <alignment horizontal="center" vertical="center"/>
    </xf>
    <xf numFmtId="3" fontId="45" fillId="0" borderId="120" xfId="1" applyNumberFormat="1" applyFont="1" applyFill="1" applyBorder="1" applyAlignment="1">
      <alignment horizontal="center" vertical="center"/>
    </xf>
    <xf numFmtId="3" fontId="45" fillId="0" borderId="130" xfId="1" applyNumberFormat="1" applyFont="1" applyFill="1" applyBorder="1" applyAlignment="1">
      <alignment horizontal="center" vertical="center"/>
    </xf>
    <xf numFmtId="0" fontId="59" fillId="0" borderId="161" xfId="1" applyFont="1" applyFill="1" applyBorder="1" applyAlignment="1">
      <alignment horizontal="center" vertical="center"/>
    </xf>
    <xf numFmtId="3" fontId="45" fillId="0" borderId="161" xfId="1" applyNumberFormat="1" applyFont="1" applyFill="1" applyBorder="1" applyAlignment="1">
      <alignment horizontal="center" vertical="center"/>
    </xf>
    <xf numFmtId="3" fontId="45" fillId="0" borderId="98" xfId="1" applyNumberFormat="1" applyFont="1" applyFill="1" applyBorder="1" applyAlignment="1">
      <alignment horizontal="center" vertical="center"/>
    </xf>
    <xf numFmtId="3" fontId="45" fillId="0" borderId="138" xfId="1" applyNumberFormat="1" applyFont="1" applyFill="1" applyBorder="1" applyAlignment="1">
      <alignment horizontal="center" vertical="center"/>
    </xf>
    <xf numFmtId="3" fontId="45" fillId="0" borderId="362" xfId="1" applyNumberFormat="1" applyFont="1" applyFill="1" applyBorder="1" applyAlignment="1">
      <alignment horizontal="center" vertical="center"/>
    </xf>
    <xf numFmtId="3" fontId="45" fillId="0" borderId="352" xfId="1" applyNumberFormat="1" applyFont="1" applyFill="1" applyBorder="1" applyAlignment="1">
      <alignment horizontal="center" vertical="center"/>
    </xf>
    <xf numFmtId="3" fontId="45" fillId="0" borderId="233" xfId="1" applyNumberFormat="1" applyFont="1" applyFill="1" applyBorder="1" applyAlignment="1">
      <alignment horizontal="center" vertical="center"/>
    </xf>
    <xf numFmtId="3" fontId="45" fillId="0" borderId="121" xfId="1" applyNumberFormat="1" applyFont="1" applyFill="1" applyBorder="1" applyAlignment="1">
      <alignment horizontal="center" vertical="center"/>
    </xf>
    <xf numFmtId="3" fontId="45" fillId="0" borderId="123" xfId="1" applyNumberFormat="1" applyFont="1" applyFill="1" applyBorder="1" applyAlignment="1">
      <alignment horizontal="center" vertical="center"/>
    </xf>
    <xf numFmtId="3" fontId="45" fillId="0" borderId="139" xfId="1" applyNumberFormat="1" applyFont="1" applyFill="1" applyBorder="1" applyAlignment="1">
      <alignment horizontal="center" vertical="center"/>
    </xf>
    <xf numFmtId="0" fontId="59" fillId="0" borderId="143" xfId="1" applyFont="1" applyFill="1" applyBorder="1" applyAlignment="1">
      <alignment horizontal="center"/>
    </xf>
    <xf numFmtId="0" fontId="59" fillId="0" borderId="143" xfId="1" applyFont="1" applyFill="1" applyBorder="1" applyAlignment="1">
      <alignment horizontal="center" vertical="center"/>
    </xf>
    <xf numFmtId="0" fontId="46" fillId="0" borderId="161" xfId="1" applyFont="1" applyFill="1" applyBorder="1" applyAlignment="1">
      <alignment horizontal="left" vertical="center"/>
    </xf>
    <xf numFmtId="0" fontId="45" fillId="0" borderId="143" xfId="1" applyFont="1" applyFill="1" applyBorder="1" applyAlignment="1">
      <alignment horizontal="left" vertical="center"/>
    </xf>
    <xf numFmtId="3" fontId="17" fillId="0" borderId="243" xfId="1" applyNumberFormat="1" applyFont="1" applyBorder="1" applyAlignment="1">
      <alignment horizontal="center" vertical="center"/>
    </xf>
    <xf numFmtId="3" fontId="45" fillId="0" borderId="363" xfId="1" applyNumberFormat="1" applyFont="1" applyFill="1" applyBorder="1" applyAlignment="1">
      <alignment horizontal="center" vertical="center"/>
    </xf>
    <xf numFmtId="3" fontId="45" fillId="0" borderId="364" xfId="1" applyNumberFormat="1" applyFont="1" applyFill="1" applyBorder="1" applyAlignment="1">
      <alignment horizontal="center" vertical="center"/>
    </xf>
    <xf numFmtId="3" fontId="45" fillId="0" borderId="158" xfId="1" applyNumberFormat="1" applyFont="1" applyFill="1" applyBorder="1" applyAlignment="1">
      <alignment horizontal="center" vertical="center"/>
    </xf>
    <xf numFmtId="3" fontId="45" fillId="0" borderId="119" xfId="1" applyNumberFormat="1" applyFont="1" applyFill="1" applyBorder="1" applyAlignment="1">
      <alignment horizontal="center" vertical="center"/>
    </xf>
    <xf numFmtId="3" fontId="45" fillId="0" borderId="148" xfId="1" applyNumberFormat="1" applyFont="1" applyFill="1" applyBorder="1" applyAlignment="1">
      <alignment horizontal="center" vertical="center"/>
    </xf>
    <xf numFmtId="3" fontId="45" fillId="0" borderId="147" xfId="1" applyNumberFormat="1" applyFont="1" applyFill="1" applyBorder="1" applyAlignment="1">
      <alignment horizontal="center" vertical="center"/>
    </xf>
    <xf numFmtId="3" fontId="45" fillId="0" borderId="208" xfId="1" applyNumberFormat="1" applyFont="1" applyFill="1" applyBorder="1" applyAlignment="1">
      <alignment horizontal="center" vertical="center"/>
    </xf>
    <xf numFmtId="3" fontId="45" fillId="0" borderId="209" xfId="1" applyNumberFormat="1" applyFont="1" applyFill="1" applyBorder="1" applyAlignment="1">
      <alignment horizontal="center" vertical="center"/>
    </xf>
    <xf numFmtId="3" fontId="45" fillId="0" borderId="206" xfId="1" applyNumberFormat="1" applyFont="1" applyFill="1" applyBorder="1" applyAlignment="1">
      <alignment horizontal="center" vertical="center"/>
    </xf>
    <xf numFmtId="3" fontId="45" fillId="0" borderId="151" xfId="1" applyNumberFormat="1" applyFont="1" applyFill="1" applyBorder="1" applyAlignment="1">
      <alignment horizontal="center" vertical="center"/>
    </xf>
    <xf numFmtId="0" fontId="45" fillId="0" borderId="161" xfId="1" applyFont="1" applyFill="1" applyBorder="1" applyAlignment="1">
      <alignment horizontal="left" vertical="center"/>
    </xf>
    <xf numFmtId="0" fontId="59" fillId="0" borderId="161" xfId="1" applyFont="1" applyFill="1" applyBorder="1" applyAlignment="1">
      <alignment horizontal="center"/>
    </xf>
    <xf numFmtId="171" fontId="58" fillId="0" borderId="322" xfId="1" quotePrefix="1" applyNumberFormat="1" applyFont="1" applyBorder="1" applyAlignment="1">
      <alignment horizontal="center" vertical="center"/>
    </xf>
    <xf numFmtId="3" fontId="46" fillId="0" borderId="124" xfId="1" applyNumberFormat="1" applyFont="1" applyFill="1" applyBorder="1" applyAlignment="1">
      <alignment horizontal="center" vertical="center"/>
    </xf>
    <xf numFmtId="3" fontId="46" fillId="0" borderId="143" xfId="1" applyNumberFormat="1" applyFont="1" applyFill="1" applyBorder="1" applyAlignment="1">
      <alignment horizontal="center" vertical="center"/>
    </xf>
    <xf numFmtId="3" fontId="46" fillId="0" borderId="136" xfId="1" applyNumberFormat="1" applyFont="1" applyFill="1" applyBorder="1" applyAlignment="1">
      <alignment horizontal="center" vertical="center"/>
    </xf>
    <xf numFmtId="3" fontId="46" fillId="0" borderId="125" xfId="1" applyNumberFormat="1" applyFont="1" applyFill="1" applyBorder="1" applyAlignment="1">
      <alignment horizontal="center" vertical="center"/>
    </xf>
    <xf numFmtId="0" fontId="45" fillId="0" borderId="165" xfId="1" applyFont="1" applyFill="1" applyBorder="1" applyAlignment="1">
      <alignment horizontal="left" vertical="center"/>
    </xf>
    <xf numFmtId="171" fontId="58" fillId="0" borderId="355" xfId="1" quotePrefix="1" applyNumberFormat="1" applyFont="1" applyBorder="1" applyAlignment="1">
      <alignment horizontal="center" vertical="center"/>
    </xf>
    <xf numFmtId="171" fontId="58" fillId="0" borderId="354" xfId="1" quotePrefix="1" applyNumberFormat="1" applyFont="1" applyBorder="1" applyAlignment="1">
      <alignment horizontal="center" vertical="center"/>
    </xf>
    <xf numFmtId="3" fontId="46" fillId="0" borderId="158" xfId="1" applyNumberFormat="1" applyFont="1" applyFill="1" applyBorder="1" applyAlignment="1">
      <alignment horizontal="center" vertical="center"/>
    </xf>
    <xf numFmtId="3" fontId="46" fillId="0" borderId="140" xfId="1" applyNumberFormat="1" applyFont="1" applyFill="1" applyBorder="1" applyAlignment="1">
      <alignment horizontal="center" vertical="center"/>
    </xf>
    <xf numFmtId="0" fontId="46" fillId="0" borderId="0" xfId="1" applyFont="1" applyFill="1" applyBorder="1" applyAlignment="1">
      <alignment horizontal="left" vertical="center"/>
    </xf>
    <xf numFmtId="169" fontId="45" fillId="0" borderId="0" xfId="1" applyNumberFormat="1" applyFont="1" applyFill="1" applyBorder="1" applyAlignment="1">
      <alignment horizontal="right" vertical="center"/>
    </xf>
    <xf numFmtId="3" fontId="46" fillId="0" borderId="0" xfId="1" applyNumberFormat="1" applyFont="1" applyFill="1" applyBorder="1" applyAlignment="1">
      <alignment horizontal="center" vertical="center"/>
    </xf>
    <xf numFmtId="0" fontId="58" fillId="0" borderId="0" xfId="1" applyFont="1" applyFill="1" applyBorder="1" applyAlignment="1">
      <alignment horizontal="center"/>
    </xf>
    <xf numFmtId="0" fontId="17" fillId="0" borderId="0" xfId="17" quotePrefix="1" applyFont="1" applyFill="1" applyBorder="1" applyAlignment="1">
      <alignment horizontal="center" vertical="center"/>
    </xf>
    <xf numFmtId="0" fontId="18" fillId="0" borderId="64" xfId="15" applyFont="1" applyFill="1" applyBorder="1" applyAlignment="1">
      <alignment horizontal="center" vertical="center"/>
    </xf>
    <xf numFmtId="0" fontId="17" fillId="0" borderId="0" xfId="17" quotePrefix="1" applyFont="1" applyFill="1" applyBorder="1" applyAlignment="1">
      <alignment horizontal="center" vertical="center" wrapText="1"/>
    </xf>
    <xf numFmtId="0" fontId="50" fillId="0" borderId="101" xfId="1" applyFont="1" applyFill="1" applyBorder="1" applyAlignment="1">
      <alignment horizontal="right" vertical="center"/>
    </xf>
    <xf numFmtId="3" fontId="58" fillId="0" borderId="129" xfId="1" applyNumberFormat="1" applyFont="1" applyFill="1" applyBorder="1" applyAlignment="1">
      <alignment horizontal="left" vertical="center"/>
    </xf>
    <xf numFmtId="166" fontId="58" fillId="0" borderId="0" xfId="1" applyNumberFormat="1" applyFont="1" applyAlignment="1">
      <alignment horizontal="center" vertical="center"/>
    </xf>
    <xf numFmtId="3" fontId="34" fillId="0" borderId="356" xfId="1" applyNumberFormat="1" applyFont="1" applyFill="1" applyBorder="1" applyAlignment="1">
      <alignment horizontal="center" vertical="center"/>
    </xf>
    <xf numFmtId="166" fontId="58" fillId="0" borderId="322" xfId="1" applyNumberFormat="1" applyFont="1" applyBorder="1" applyAlignment="1">
      <alignment horizontal="center" vertical="center"/>
    </xf>
    <xf numFmtId="3" fontId="45" fillId="0" borderId="298" xfId="1" applyNumberFormat="1" applyFont="1" applyFill="1" applyBorder="1" applyAlignment="1">
      <alignment horizontal="center" vertical="center"/>
    </xf>
    <xf numFmtId="3" fontId="45" fillId="0" borderId="237" xfId="1" applyNumberFormat="1" applyFont="1" applyFill="1" applyBorder="1" applyAlignment="1">
      <alignment horizontal="center" vertical="center"/>
    </xf>
    <xf numFmtId="3" fontId="45" fillId="0" borderId="159" xfId="1" applyNumberFormat="1" applyFont="1" applyFill="1" applyBorder="1" applyAlignment="1">
      <alignment horizontal="center" vertical="center"/>
    </xf>
    <xf numFmtId="0" fontId="59" fillId="0" borderId="362" xfId="1" applyFont="1" applyFill="1" applyBorder="1" applyAlignment="1">
      <alignment horizontal="center" vertical="center"/>
    </xf>
    <xf numFmtId="3" fontId="45" fillId="0" borderId="361" xfId="1" applyNumberFormat="1" applyFont="1" applyFill="1" applyBorder="1" applyAlignment="1">
      <alignment horizontal="center" vertical="center"/>
    </xf>
    <xf numFmtId="3" fontId="45" fillId="0" borderId="236" xfId="1" applyNumberFormat="1" applyFont="1" applyFill="1" applyBorder="1" applyAlignment="1">
      <alignment horizontal="center" vertical="center"/>
    </xf>
    <xf numFmtId="3" fontId="45" fillId="0" borderId="211" xfId="1" applyNumberFormat="1" applyFont="1" applyFill="1" applyBorder="1" applyAlignment="1">
      <alignment horizontal="center" vertical="center"/>
    </xf>
    <xf numFmtId="3" fontId="46" fillId="0" borderId="237" xfId="1" applyNumberFormat="1" applyFont="1" applyFill="1" applyBorder="1" applyAlignment="1">
      <alignment horizontal="center" vertical="center"/>
    </xf>
    <xf numFmtId="3" fontId="46" fillId="0" borderId="98" xfId="1" applyNumberFormat="1" applyFont="1" applyFill="1" applyBorder="1" applyAlignment="1">
      <alignment horizontal="center" vertical="center"/>
    </xf>
    <xf numFmtId="3" fontId="46" fillId="0" borderId="159" xfId="1" applyNumberFormat="1" applyFont="1" applyFill="1" applyBorder="1" applyAlignment="1">
      <alignment horizontal="center" vertical="center"/>
    </xf>
    <xf numFmtId="3" fontId="46" fillId="0" borderId="298" xfId="1" applyNumberFormat="1" applyFont="1" applyFill="1" applyBorder="1" applyAlignment="1">
      <alignment horizontal="center" vertical="center"/>
    </xf>
    <xf numFmtId="0" fontId="46" fillId="0" borderId="161" xfId="1" applyFont="1" applyFill="1" applyBorder="1" applyAlignment="1">
      <alignment horizontal="center"/>
    </xf>
    <xf numFmtId="0" fontId="46" fillId="0" borderId="161" xfId="1" applyFont="1" applyFill="1" applyBorder="1" applyAlignment="1">
      <alignment vertical="center"/>
    </xf>
    <xf numFmtId="3" fontId="46" fillId="0" borderId="162" xfId="1" applyNumberFormat="1" applyFont="1" applyFill="1" applyBorder="1" applyAlignment="1">
      <alignment horizontal="center" vertical="center"/>
    </xf>
    <xf numFmtId="0" fontId="45" fillId="0" borderId="133" xfId="1" applyFont="1" applyFill="1" applyBorder="1" applyAlignment="1">
      <alignment horizontal="left" vertical="center"/>
    </xf>
    <xf numFmtId="0" fontId="60" fillId="0" borderId="322" xfId="0" applyFont="1" applyBorder="1"/>
    <xf numFmtId="0" fontId="49" fillId="0" borderId="0" xfId="0" applyFont="1"/>
    <xf numFmtId="0" fontId="61" fillId="0" borderId="0" xfId="0" applyFont="1" applyAlignment="1">
      <alignment horizontal="center" vertical="center"/>
    </xf>
    <xf numFmtId="0" fontId="62" fillId="0" borderId="0" xfId="15" applyFont="1" applyAlignment="1" applyProtection="1">
      <alignment horizontal="center" vertical="center"/>
    </xf>
    <xf numFmtId="0" fontId="58" fillId="0" borderId="0" xfId="15" applyFont="1" applyAlignment="1" applyProtection="1">
      <alignment horizontal="center" vertical="center"/>
    </xf>
    <xf numFmtId="0" fontId="34" fillId="0" borderId="0" xfId="4" applyFont="1" applyFill="1"/>
    <xf numFmtId="0" fontId="49" fillId="0" borderId="0" xfId="0" quotePrefix="1" applyFont="1" applyAlignment="1">
      <alignment horizontal="center"/>
    </xf>
    <xf numFmtId="0" fontId="42" fillId="0" borderId="0" xfId="0" quotePrefix="1" applyFont="1" applyAlignment="1">
      <alignment horizontal="center"/>
    </xf>
    <xf numFmtId="0" fontId="49" fillId="3" borderId="0" xfId="0" quotePrefix="1" applyFont="1" applyFill="1" applyAlignment="1">
      <alignment horizontal="center"/>
    </xf>
    <xf numFmtId="0" fontId="21" fillId="0" borderId="0" xfId="15" applyFont="1" applyFill="1" applyAlignment="1" applyProtection="1">
      <alignment vertical="center"/>
    </xf>
    <xf numFmtId="0" fontId="61" fillId="0" borderId="0" xfId="0" applyFont="1" applyAlignment="1">
      <alignment horizontal="center"/>
    </xf>
    <xf numFmtId="1" fontId="63" fillId="0" borderId="0" xfId="4" applyNumberFormat="1" applyFont="1" applyFill="1" applyAlignment="1">
      <alignment horizontal="left" vertical="center"/>
    </xf>
    <xf numFmtId="3" fontId="64" fillId="0" borderId="0" xfId="0" applyNumberFormat="1" applyFont="1" applyAlignment="1">
      <alignment horizontal="center" vertical="center"/>
    </xf>
    <xf numFmtId="3" fontId="45" fillId="0" borderId="0" xfId="0" applyNumberFormat="1" applyFont="1" applyAlignment="1">
      <alignment horizontal="center" vertical="center"/>
    </xf>
    <xf numFmtId="3" fontId="45" fillId="0" borderId="0" xfId="0" applyNumberFormat="1" applyFont="1" applyFill="1" applyAlignment="1">
      <alignment horizontal="center" vertical="center"/>
    </xf>
    <xf numFmtId="3" fontId="48" fillId="0" borderId="0" xfId="0" applyNumberFormat="1" applyFont="1" applyAlignment="1">
      <alignment horizontal="center" vertical="center"/>
    </xf>
    <xf numFmtId="3" fontId="64" fillId="0" borderId="0" xfId="0" applyNumberFormat="1" applyFont="1" applyFill="1" applyAlignment="1">
      <alignment horizontal="center" vertical="center"/>
    </xf>
    <xf numFmtId="3" fontId="48" fillId="0" borderId="0" xfId="0" applyNumberFormat="1" applyFont="1" applyFill="1" applyAlignment="1">
      <alignment horizontal="center" vertical="center"/>
    </xf>
    <xf numFmtId="3" fontId="65" fillId="0" borderId="0" xfId="0" applyNumberFormat="1" applyFont="1" applyAlignment="1">
      <alignment horizontal="right"/>
    </xf>
    <xf numFmtId="3" fontId="65" fillId="0" borderId="0" xfId="0" applyNumberFormat="1" applyFont="1" applyAlignment="1">
      <alignment horizontal="center" vertical="center"/>
    </xf>
    <xf numFmtId="3" fontId="58" fillId="0" borderId="0" xfId="0" applyNumberFormat="1" applyFont="1" applyAlignment="1">
      <alignment horizontal="center" vertical="center"/>
    </xf>
    <xf numFmtId="3" fontId="61" fillId="0" borderId="0" xfId="0" applyNumberFormat="1" applyFont="1" applyAlignment="1">
      <alignment horizontal="center" vertical="center"/>
    </xf>
    <xf numFmtId="3" fontId="65" fillId="0" borderId="0" xfId="0" applyNumberFormat="1" applyFont="1" applyAlignment="1">
      <alignment horizontal="left"/>
    </xf>
    <xf numFmtId="3" fontId="66" fillId="0" borderId="0" xfId="0" applyNumberFormat="1" applyFont="1" applyAlignment="1">
      <alignment horizontal="center" vertical="center"/>
    </xf>
    <xf numFmtId="0" fontId="64" fillId="0" borderId="0" xfId="0" applyFont="1"/>
    <xf numFmtId="0" fontId="21" fillId="0" borderId="0" xfId="15" applyFont="1" applyAlignment="1">
      <alignment horizontal="left" vertical="center"/>
    </xf>
    <xf numFmtId="3" fontId="64" fillId="0" borderId="0" xfId="0" applyNumberFormat="1" applyFont="1" applyAlignment="1">
      <alignment horizontal="center"/>
    </xf>
    <xf numFmtId="10" fontId="67" fillId="0" borderId="0" xfId="0" applyNumberFormat="1" applyFont="1" applyFill="1" applyAlignment="1">
      <alignment horizontal="center" vertical="center"/>
    </xf>
    <xf numFmtId="0" fontId="50" fillId="0" borderId="142" xfId="1" applyFont="1" applyFill="1" applyBorder="1" applyAlignment="1">
      <alignment horizontal="right" vertical="center"/>
    </xf>
    <xf numFmtId="0" fontId="21" fillId="0" borderId="99" xfId="15" applyFont="1" applyFill="1" applyBorder="1" applyAlignment="1">
      <alignment horizontal="center" vertical="center"/>
    </xf>
    <xf numFmtId="0" fontId="21" fillId="0" borderId="64" xfId="17" quotePrefix="1" applyFont="1" applyFill="1" applyBorder="1" applyAlignment="1">
      <alignment horizontal="center" vertical="center"/>
    </xf>
    <xf numFmtId="3" fontId="50" fillId="0" borderId="178" xfId="1" applyNumberFormat="1" applyFont="1" applyFill="1" applyBorder="1" applyAlignment="1">
      <alignment horizontal="center" vertical="center"/>
    </xf>
    <xf numFmtId="0" fontId="50" fillId="0" borderId="327" xfId="1" applyFont="1" applyFill="1" applyBorder="1" applyAlignment="1">
      <alignment horizontal="right" vertical="center"/>
    </xf>
    <xf numFmtId="0" fontId="11" fillId="0" borderId="325" xfId="17" applyFont="1" applyFill="1" applyBorder="1" applyAlignment="1">
      <alignment horizontal="center" vertical="center"/>
    </xf>
    <xf numFmtId="3" fontId="11" fillId="0" borderId="365" xfId="17" applyNumberFormat="1" applyFont="1" applyFill="1" applyBorder="1" applyAlignment="1">
      <alignment horizontal="center" vertical="center"/>
    </xf>
    <xf numFmtId="0" fontId="11" fillId="0" borderId="365" xfId="17" applyFont="1" applyFill="1" applyBorder="1" applyAlignment="1">
      <alignment horizontal="center" vertical="center"/>
    </xf>
    <xf numFmtId="167" fontId="58" fillId="0" borderId="166" xfId="1" applyNumberFormat="1" applyFont="1" applyBorder="1" applyAlignment="1">
      <alignment horizontal="center" vertical="center"/>
    </xf>
    <xf numFmtId="171" fontId="45" fillId="0" borderId="357" xfId="1" quotePrefix="1" applyNumberFormat="1" applyFont="1" applyBorder="1" applyAlignment="1">
      <alignment horizontal="center" vertical="center"/>
    </xf>
    <xf numFmtId="3" fontId="34" fillId="0" borderId="348" xfId="1" applyNumberFormat="1" applyFont="1" applyFill="1" applyBorder="1" applyAlignment="1">
      <alignment horizontal="center" vertical="center"/>
    </xf>
    <xf numFmtId="3" fontId="58" fillId="0" borderId="102" xfId="1" applyNumberFormat="1" applyFont="1" applyFill="1" applyBorder="1" applyAlignment="1">
      <alignment horizontal="center" vertical="center" wrapText="1"/>
    </xf>
    <xf numFmtId="0" fontId="46" fillId="0" borderId="62" xfId="1" applyFont="1" applyFill="1" applyBorder="1" applyAlignment="1">
      <alignment horizontal="center"/>
    </xf>
    <xf numFmtId="3" fontId="45" fillId="0" borderId="66" xfId="1" applyNumberFormat="1" applyFont="1" applyFill="1" applyBorder="1" applyAlignment="1">
      <alignment horizontal="center" vertical="center"/>
    </xf>
    <xf numFmtId="3" fontId="45" fillId="0" borderId="64" xfId="1" applyNumberFormat="1" applyFont="1" applyFill="1" applyBorder="1" applyAlignment="1">
      <alignment horizontal="center" vertical="center"/>
    </xf>
    <xf numFmtId="3" fontId="45" fillId="0" borderId="169" xfId="1" applyNumberFormat="1" applyFont="1" applyFill="1" applyBorder="1" applyAlignment="1">
      <alignment horizontal="center" vertical="center"/>
    </xf>
    <xf numFmtId="3" fontId="45" fillId="0" borderId="351" xfId="1" applyNumberFormat="1" applyFont="1" applyFill="1" applyBorder="1" applyAlignment="1">
      <alignment horizontal="center" vertical="center"/>
    </xf>
    <xf numFmtId="3" fontId="45" fillId="0" borderId="153" xfId="1" applyNumberFormat="1" applyFont="1" applyFill="1" applyBorder="1" applyAlignment="1">
      <alignment horizontal="center" vertical="center"/>
    </xf>
    <xf numFmtId="3" fontId="45" fillId="0" borderId="156" xfId="1" applyNumberFormat="1" applyFont="1" applyFill="1" applyBorder="1" applyAlignment="1">
      <alignment horizontal="center" vertical="center"/>
    </xf>
    <xf numFmtId="0" fontId="69" fillId="0" borderId="62" xfId="1" applyFont="1" applyFill="1" applyBorder="1" applyAlignment="1">
      <alignment horizontal="center" vertical="center"/>
    </xf>
    <xf numFmtId="3" fontId="45" fillId="0" borderId="51" xfId="1" applyNumberFormat="1" applyFont="1" applyFill="1" applyBorder="1" applyAlignment="1">
      <alignment horizontal="center" vertical="center"/>
    </xf>
    <xf numFmtId="3" fontId="45" fillId="0" borderId="171" xfId="1" applyNumberFormat="1" applyFont="1" applyFill="1" applyBorder="1" applyAlignment="1">
      <alignment horizontal="center" vertical="center"/>
    </xf>
    <xf numFmtId="3" fontId="45" fillId="0" borderId="170" xfId="1" applyNumberFormat="1" applyFont="1" applyFill="1" applyBorder="1" applyAlignment="1">
      <alignment horizontal="center" vertical="center"/>
    </xf>
    <xf numFmtId="3" fontId="45" fillId="0" borderId="229" xfId="1" applyNumberFormat="1" applyFont="1" applyFill="1" applyBorder="1" applyAlignment="1">
      <alignment horizontal="center" vertical="center"/>
    </xf>
    <xf numFmtId="3" fontId="45" fillId="0" borderId="227" xfId="1" applyNumberFormat="1" applyFont="1" applyFill="1" applyBorder="1" applyAlignment="1">
      <alignment horizontal="center" vertical="center"/>
    </xf>
    <xf numFmtId="0" fontId="59" fillId="0" borderId="287" xfId="1" applyFont="1" applyFill="1" applyBorder="1" applyAlignment="1">
      <alignment horizontal="center" vertical="center"/>
    </xf>
    <xf numFmtId="3" fontId="45" fillId="0" borderId="296" xfId="1" applyNumberFormat="1" applyFont="1" applyFill="1" applyBorder="1" applyAlignment="1">
      <alignment horizontal="center" vertical="center"/>
    </xf>
    <xf numFmtId="3" fontId="45" fillId="0" borderId="297" xfId="1" applyNumberFormat="1" applyFont="1" applyFill="1" applyBorder="1" applyAlignment="1">
      <alignment horizontal="center" vertical="center"/>
    </xf>
    <xf numFmtId="3" fontId="45" fillId="0" borderId="260" xfId="1" applyNumberFormat="1" applyFont="1" applyFill="1" applyBorder="1" applyAlignment="1">
      <alignment horizontal="center" vertical="center"/>
    </xf>
    <xf numFmtId="0" fontId="69" fillId="0" borderId="234" xfId="1" applyFont="1" applyFill="1" applyBorder="1" applyAlignment="1">
      <alignment horizontal="center" vertical="center"/>
    </xf>
    <xf numFmtId="3" fontId="17" fillId="0" borderId="367" xfId="1" applyNumberFormat="1" applyFont="1" applyBorder="1" applyAlignment="1">
      <alignment horizontal="center" vertical="center"/>
    </xf>
    <xf numFmtId="3" fontId="45" fillId="0" borderId="311" xfId="1" applyNumberFormat="1" applyFont="1" applyFill="1" applyBorder="1" applyAlignment="1">
      <alignment horizontal="center" vertical="center"/>
    </xf>
    <xf numFmtId="0" fontId="59" fillId="0" borderId="337" xfId="1" applyFont="1" applyFill="1" applyBorder="1" applyAlignment="1">
      <alignment horizontal="center" vertical="center"/>
    </xf>
    <xf numFmtId="3" fontId="45" fillId="0" borderId="331" xfId="1" applyNumberFormat="1" applyFont="1" applyFill="1" applyBorder="1" applyAlignment="1">
      <alignment horizontal="center" vertical="center"/>
    </xf>
    <xf numFmtId="0" fontId="69" fillId="0" borderId="362" xfId="1" applyFont="1" applyFill="1" applyBorder="1" applyAlignment="1">
      <alignment horizontal="center" vertical="center"/>
    </xf>
    <xf numFmtId="3" fontId="45" fillId="0" borderId="174" xfId="1" applyNumberFormat="1" applyFont="1" applyFill="1" applyBorder="1" applyAlignment="1">
      <alignment horizontal="center" vertical="center"/>
    </xf>
    <xf numFmtId="3" fontId="45" fillId="0" borderId="87" xfId="1" applyNumberFormat="1" applyFont="1" applyFill="1" applyBorder="1" applyAlignment="1">
      <alignment horizontal="center" vertical="center"/>
    </xf>
    <xf numFmtId="3" fontId="45" fillId="0" borderId="175" xfId="1" applyNumberFormat="1" applyFont="1" applyFill="1" applyBorder="1" applyAlignment="1">
      <alignment horizontal="center" vertical="center"/>
    </xf>
    <xf numFmtId="3" fontId="45" fillId="0" borderId="176" xfId="1" applyNumberFormat="1" applyFont="1" applyFill="1" applyBorder="1" applyAlignment="1">
      <alignment horizontal="center" vertical="center"/>
    </xf>
    <xf numFmtId="3" fontId="45" fillId="0" borderId="181" xfId="1" applyNumberFormat="1" applyFont="1" applyFill="1" applyBorder="1" applyAlignment="1">
      <alignment horizontal="center" vertical="center"/>
    </xf>
    <xf numFmtId="3" fontId="45" fillId="0" borderId="142" xfId="1" applyNumberFormat="1" applyFont="1" applyFill="1" applyBorder="1" applyAlignment="1">
      <alignment horizontal="center" vertical="center"/>
    </xf>
    <xf numFmtId="0" fontId="59" fillId="0" borderId="62" xfId="1" applyFont="1" applyFill="1" applyBorder="1" applyAlignment="1">
      <alignment horizontal="center" vertical="center"/>
    </xf>
    <xf numFmtId="3" fontId="45" fillId="0" borderId="27" xfId="1" applyNumberFormat="1" applyFont="1" applyFill="1" applyBorder="1" applyAlignment="1">
      <alignment horizontal="center" vertical="center"/>
    </xf>
    <xf numFmtId="3" fontId="45" fillId="0" borderId="177" xfId="1" applyNumberFormat="1" applyFont="1" applyFill="1" applyBorder="1" applyAlignment="1">
      <alignment horizontal="center" vertical="center"/>
    </xf>
    <xf numFmtId="0" fontId="69" fillId="0" borderId="143" xfId="1" applyFont="1" applyFill="1" applyBorder="1" applyAlignment="1">
      <alignment horizontal="center" vertical="center"/>
    </xf>
    <xf numFmtId="3" fontId="45" fillId="0" borderId="173" xfId="1" applyNumberFormat="1" applyFont="1" applyFill="1" applyBorder="1" applyAlignment="1">
      <alignment horizontal="center" vertical="center"/>
    </xf>
    <xf numFmtId="0" fontId="69" fillId="0" borderId="60" xfId="1" applyFont="1" applyFill="1" applyBorder="1" applyAlignment="1">
      <alignment horizontal="center" vertical="center"/>
    </xf>
    <xf numFmtId="0" fontId="59" fillId="0" borderId="82" xfId="1" applyFont="1" applyFill="1" applyBorder="1" applyAlignment="1">
      <alignment horizontal="center" vertical="center"/>
    </xf>
    <xf numFmtId="3" fontId="45" fillId="0" borderId="157" xfId="1" applyNumberFormat="1" applyFont="1" applyFill="1" applyBorder="1" applyAlignment="1">
      <alignment horizontal="center" vertical="center"/>
    </xf>
    <xf numFmtId="0" fontId="59" fillId="0" borderId="60" xfId="1" applyFont="1" applyFill="1" applyBorder="1" applyAlignment="1">
      <alignment horizontal="center" vertical="center"/>
    </xf>
    <xf numFmtId="3" fontId="45" fillId="0" borderId="374" xfId="1" applyNumberFormat="1" applyFont="1" applyFill="1" applyBorder="1" applyAlignment="1">
      <alignment horizontal="center" vertical="center"/>
    </xf>
    <xf numFmtId="3" fontId="45" fillId="0" borderId="360" xfId="1" applyNumberFormat="1" applyFont="1" applyFill="1" applyBorder="1" applyAlignment="1">
      <alignment horizontal="center" vertical="center"/>
    </xf>
    <xf numFmtId="3" fontId="45" fillId="0" borderId="152" xfId="1" applyNumberFormat="1" applyFont="1" applyFill="1" applyBorder="1" applyAlignment="1">
      <alignment horizontal="center" vertical="center"/>
    </xf>
    <xf numFmtId="0" fontId="59" fillId="0" borderId="38" xfId="1" applyFont="1" applyFill="1" applyBorder="1" applyAlignment="1">
      <alignment horizontal="center" vertical="center"/>
    </xf>
    <xf numFmtId="0" fontId="59" fillId="0" borderId="110" xfId="1" applyFont="1" applyFill="1" applyBorder="1" applyAlignment="1">
      <alignment horizontal="center" vertical="center"/>
    </xf>
    <xf numFmtId="0" fontId="69" fillId="0" borderId="9" xfId="1" applyFont="1" applyFill="1" applyBorder="1" applyAlignment="1">
      <alignment horizontal="center" vertical="center"/>
    </xf>
    <xf numFmtId="0" fontId="46" fillId="0" borderId="38" xfId="1" applyFont="1" applyFill="1" applyBorder="1" applyAlignment="1">
      <alignment horizontal="center"/>
    </xf>
    <xf numFmtId="0" fontId="59" fillId="0" borderId="9" xfId="1" applyFont="1" applyFill="1" applyBorder="1" applyAlignment="1">
      <alignment horizontal="center" vertical="center"/>
    </xf>
    <xf numFmtId="0" fontId="46" fillId="0" borderId="9" xfId="1" applyFont="1" applyFill="1" applyBorder="1" applyAlignment="1">
      <alignment horizontal="center"/>
    </xf>
    <xf numFmtId="0" fontId="59" fillId="0" borderId="61" xfId="1" applyFont="1" applyFill="1" applyBorder="1" applyAlignment="1">
      <alignment horizontal="center" vertical="center"/>
    </xf>
    <xf numFmtId="167" fontId="58" fillId="0" borderId="316" xfId="1" applyNumberFormat="1" applyFont="1" applyBorder="1" applyAlignment="1">
      <alignment horizontal="center" vertical="center"/>
    </xf>
    <xf numFmtId="0" fontId="38" fillId="0" borderId="38" xfId="1" applyFont="1" applyFill="1" applyBorder="1" applyAlignment="1">
      <alignment horizontal="center" vertical="center"/>
    </xf>
    <xf numFmtId="0" fontId="69" fillId="0" borderId="38" xfId="1" applyFont="1" applyFill="1" applyBorder="1" applyAlignment="1">
      <alignment horizontal="center" vertical="center"/>
    </xf>
    <xf numFmtId="0" fontId="38" fillId="0" borderId="60" xfId="1" applyFont="1" applyFill="1" applyBorder="1" applyAlignment="1">
      <alignment horizontal="center" vertical="center"/>
    </xf>
    <xf numFmtId="0" fontId="38" fillId="0" borderId="9" xfId="1" applyFont="1" applyFill="1" applyBorder="1" applyAlignment="1">
      <alignment horizontal="center" vertical="center"/>
    </xf>
    <xf numFmtId="0" fontId="38" fillId="0" borderId="82" xfId="1" applyFont="1" applyFill="1" applyBorder="1" applyAlignment="1">
      <alignment horizontal="center" vertical="center"/>
    </xf>
    <xf numFmtId="0" fontId="69" fillId="0" borderId="237" xfId="1" applyFont="1" applyFill="1" applyBorder="1" applyAlignment="1">
      <alignment horizontal="center" vertical="center"/>
    </xf>
    <xf numFmtId="3" fontId="45" fillId="0" borderId="235" xfId="1" applyNumberFormat="1" applyFont="1" applyFill="1" applyBorder="1" applyAlignment="1">
      <alignment horizontal="center" vertical="center"/>
    </xf>
    <xf numFmtId="0" fontId="46" fillId="0" borderId="61" xfId="1" applyFont="1" applyFill="1" applyBorder="1" applyAlignment="1">
      <alignment horizontal="center"/>
    </xf>
    <xf numFmtId="0" fontId="69" fillId="0" borderId="224" xfId="1" applyFont="1" applyFill="1" applyBorder="1" applyAlignment="1">
      <alignment horizontal="center" vertical="center"/>
    </xf>
    <xf numFmtId="3" fontId="45" fillId="0" borderId="222" xfId="1" applyNumberFormat="1" applyFont="1" applyFill="1" applyBorder="1" applyAlignment="1">
      <alignment horizontal="center" vertical="center"/>
    </xf>
    <xf numFmtId="3" fontId="45" fillId="0" borderId="223" xfId="1" applyNumberFormat="1" applyFont="1" applyFill="1" applyBorder="1" applyAlignment="1">
      <alignment horizontal="center" vertical="center"/>
    </xf>
    <xf numFmtId="171" fontId="58" fillId="0" borderId="316" xfId="1" applyNumberFormat="1" applyFont="1" applyBorder="1" applyAlignment="1">
      <alignment horizontal="center" vertical="center"/>
    </xf>
    <xf numFmtId="3" fontId="46" fillId="0" borderId="361" xfId="1" applyNumberFormat="1" applyFont="1" applyFill="1" applyBorder="1" applyAlignment="1">
      <alignment horizontal="center" vertical="center"/>
    </xf>
    <xf numFmtId="3" fontId="46" fillId="0" borderId="151" xfId="1" applyNumberFormat="1" applyFont="1" applyFill="1" applyBorder="1" applyAlignment="1">
      <alignment horizontal="center" vertical="center"/>
    </xf>
    <xf numFmtId="3" fontId="46" fillId="0" borderId="155" xfId="1" applyNumberFormat="1" applyFont="1" applyFill="1" applyBorder="1" applyAlignment="1">
      <alignment horizontal="center" vertical="center"/>
    </xf>
    <xf numFmtId="167" fontId="58" fillId="0" borderId="168" xfId="1" applyNumberFormat="1" applyFont="1" applyBorder="1" applyAlignment="1">
      <alignment horizontal="center" vertical="center"/>
    </xf>
    <xf numFmtId="0" fontId="59" fillId="0" borderId="234" xfId="1" applyFont="1" applyFill="1" applyBorder="1" applyAlignment="1">
      <alignment horizontal="center" vertical="center"/>
    </xf>
    <xf numFmtId="167" fontId="58" fillId="0" borderId="182" xfId="1" applyNumberFormat="1" applyFont="1" applyBorder="1" applyAlignment="1">
      <alignment horizontal="center" vertical="center"/>
    </xf>
    <xf numFmtId="167" fontId="58" fillId="0" borderId="172" xfId="1" applyNumberFormat="1" applyFont="1" applyBorder="1" applyAlignment="1">
      <alignment horizontal="center" vertical="center"/>
    </xf>
    <xf numFmtId="167" fontId="58" fillId="0" borderId="167" xfId="1" applyNumberFormat="1" applyFont="1" applyBorder="1" applyAlignment="1">
      <alignment horizontal="center" vertical="center"/>
    </xf>
    <xf numFmtId="167" fontId="58" fillId="0" borderId="180" xfId="1" applyNumberFormat="1" applyFont="1" applyBorder="1" applyAlignment="1">
      <alignment horizontal="center" vertical="center"/>
    </xf>
    <xf numFmtId="167" fontId="58" fillId="0" borderId="164" xfId="1" applyNumberFormat="1" applyFont="1" applyBorder="1" applyAlignment="1">
      <alignment horizontal="center" vertical="center"/>
    </xf>
    <xf numFmtId="171" fontId="58" fillId="0" borderId="176" xfId="1" applyNumberFormat="1" applyFont="1" applyBorder="1" applyAlignment="1">
      <alignment horizontal="center" vertical="center"/>
    </xf>
    <xf numFmtId="0" fontId="17" fillId="0" borderId="0" xfId="1" applyFont="1" applyFill="1" applyBorder="1" applyAlignment="1">
      <alignment horizontal="left" vertical="center"/>
    </xf>
    <xf numFmtId="0" fontId="42" fillId="0" borderId="128" xfId="0" applyFont="1" applyBorder="1"/>
    <xf numFmtId="0" fontId="33" fillId="0" borderId="65" xfId="1" applyFont="1" applyFill="1" applyBorder="1" applyAlignment="1">
      <alignment horizontal="center" vertical="center"/>
    </xf>
    <xf numFmtId="0" fontId="55" fillId="0" borderId="65" xfId="1" applyFont="1" applyFill="1" applyBorder="1" applyAlignment="1">
      <alignment horizontal="center" vertical="center" wrapText="1"/>
    </xf>
    <xf numFmtId="0" fontId="55" fillId="0" borderId="0" xfId="1" applyFont="1" applyFill="1" applyBorder="1" applyAlignment="1">
      <alignment horizontal="center" vertical="center" wrapText="1"/>
    </xf>
    <xf numFmtId="0" fontId="21" fillId="0" borderId="65" xfId="17" quotePrefix="1" applyFont="1" applyFill="1" applyBorder="1" applyAlignment="1">
      <alignment horizontal="center" vertical="center"/>
    </xf>
    <xf numFmtId="0" fontId="21" fillId="0" borderId="0" xfId="15" quotePrefix="1" applyFont="1" applyFill="1" applyBorder="1" applyAlignment="1">
      <alignment horizontal="center" vertical="center"/>
    </xf>
    <xf numFmtId="3" fontId="52" fillId="0" borderId="134" xfId="1" applyNumberFormat="1" applyFont="1" applyFill="1" applyBorder="1" applyAlignment="1">
      <alignment horizontal="center" vertical="center"/>
    </xf>
    <xf numFmtId="0" fontId="68" fillId="0" borderId="127" xfId="17" applyFont="1" applyFill="1" applyBorder="1" applyAlignment="1">
      <alignment horizontal="center" vertical="center"/>
    </xf>
    <xf numFmtId="0" fontId="68" fillId="0" borderId="134" xfId="17" applyFont="1" applyFill="1" applyBorder="1" applyAlignment="1">
      <alignment horizontal="center" vertical="center"/>
    </xf>
    <xf numFmtId="0" fontId="11" fillId="0" borderId="65" xfId="17" applyFont="1" applyFill="1" applyBorder="1" applyAlignment="1">
      <alignment horizontal="center" vertical="center"/>
    </xf>
    <xf numFmtId="0" fontId="11" fillId="0" borderId="0" xfId="17" applyFont="1" applyFill="1" applyBorder="1" applyAlignment="1">
      <alignment horizontal="center" vertical="center"/>
    </xf>
    <xf numFmtId="3" fontId="57" fillId="0" borderId="65" xfId="17" applyNumberFormat="1" applyFont="1" applyFill="1" applyBorder="1" applyAlignment="1">
      <alignment horizontal="center" vertical="center"/>
    </xf>
    <xf numFmtId="3" fontId="57" fillId="0" borderId="0" xfId="17" applyNumberFormat="1" applyFont="1" applyFill="1" applyBorder="1" applyAlignment="1">
      <alignment horizontal="center" vertical="center"/>
    </xf>
    <xf numFmtId="3" fontId="35" fillId="0" borderId="243" xfId="1" applyNumberFormat="1" applyFont="1" applyBorder="1" applyAlignment="1">
      <alignment horizontal="center" vertical="center"/>
    </xf>
    <xf numFmtId="3" fontId="34" fillId="0" borderId="134" xfId="1" applyNumberFormat="1" applyFont="1" applyFill="1" applyBorder="1" applyAlignment="1">
      <alignment horizontal="center" vertical="center"/>
    </xf>
    <xf numFmtId="3" fontId="34" fillId="0" borderId="65" xfId="1" applyNumberFormat="1" applyFont="1" applyFill="1" applyBorder="1" applyAlignment="1">
      <alignment horizontal="center" vertical="center"/>
    </xf>
    <xf numFmtId="3" fontId="34" fillId="0" borderId="0" xfId="1" applyNumberFormat="1" applyFont="1" applyFill="1" applyBorder="1" applyAlignment="1">
      <alignment horizontal="center" vertical="center"/>
    </xf>
    <xf numFmtId="3" fontId="45" fillId="0" borderId="52" xfId="1" applyNumberFormat="1" applyFont="1" applyFill="1" applyBorder="1" applyAlignment="1">
      <alignment horizontal="center" vertical="center"/>
    </xf>
    <xf numFmtId="3" fontId="45" fillId="0" borderId="65" xfId="1" applyNumberFormat="1" applyFont="1" applyFill="1" applyBorder="1" applyAlignment="1">
      <alignment horizontal="center" vertical="center"/>
    </xf>
    <xf numFmtId="3" fontId="45" fillId="0" borderId="179" xfId="1" applyNumberFormat="1" applyFont="1" applyFill="1" applyBorder="1" applyAlignment="1">
      <alignment horizontal="center" vertical="center"/>
    </xf>
    <xf numFmtId="3" fontId="45" fillId="0" borderId="178" xfId="1" applyNumberFormat="1" applyFont="1" applyFill="1" applyBorder="1" applyAlignment="1">
      <alignment horizontal="center" vertical="center"/>
    </xf>
    <xf numFmtId="3" fontId="35" fillId="0" borderId="231" xfId="1" applyNumberFormat="1" applyFont="1" applyBorder="1" applyAlignment="1">
      <alignment horizontal="center" vertical="center"/>
    </xf>
    <xf numFmtId="3" fontId="17" fillId="0" borderId="231" xfId="1" applyNumberFormat="1" applyFont="1" applyBorder="1" applyAlignment="1">
      <alignment horizontal="center" vertical="center"/>
    </xf>
    <xf numFmtId="3" fontId="45" fillId="0" borderId="241" xfId="1" applyNumberFormat="1" applyFont="1" applyFill="1" applyBorder="1" applyAlignment="1">
      <alignment horizontal="center" vertical="center"/>
    </xf>
    <xf numFmtId="3" fontId="35" fillId="0" borderId="367" xfId="1" applyNumberFormat="1" applyFont="1" applyBorder="1" applyAlignment="1">
      <alignment horizontal="center" vertical="center"/>
    </xf>
    <xf numFmtId="3" fontId="45" fillId="0" borderId="114" xfId="1" applyNumberFormat="1" applyFont="1" applyFill="1" applyBorder="1" applyAlignment="1">
      <alignment horizontal="center" vertical="center"/>
    </xf>
    <xf numFmtId="3" fontId="45" fillId="0" borderId="230" xfId="1" applyNumberFormat="1" applyFont="1" applyFill="1" applyBorder="1" applyAlignment="1">
      <alignment horizontal="center" vertical="center"/>
    </xf>
    <xf numFmtId="0" fontId="59" fillId="0" borderId="351" xfId="1" applyFont="1" applyFill="1" applyBorder="1" applyAlignment="1">
      <alignment horizontal="center" vertical="center"/>
    </xf>
    <xf numFmtId="3" fontId="45" fillId="0" borderId="231" xfId="1" applyNumberFormat="1" applyFont="1" applyFill="1" applyBorder="1" applyAlignment="1">
      <alignment horizontal="center" vertical="center"/>
    </xf>
    <xf numFmtId="0" fontId="59" fillId="0" borderId="232" xfId="1" applyFont="1" applyFill="1" applyBorder="1" applyAlignment="1">
      <alignment horizontal="center" vertical="center"/>
    </xf>
    <xf numFmtId="3" fontId="45" fillId="0" borderId="239" xfId="1" applyNumberFormat="1" applyFont="1" applyFill="1" applyBorder="1" applyAlignment="1">
      <alignment horizontal="center" vertical="center"/>
    </xf>
    <xf numFmtId="3" fontId="45" fillId="0" borderId="240" xfId="1" applyNumberFormat="1" applyFont="1" applyFill="1" applyBorder="1" applyAlignment="1">
      <alignment horizontal="center" vertical="center"/>
    </xf>
    <xf numFmtId="0" fontId="59" fillId="0" borderId="165" xfId="1" applyFont="1" applyFill="1" applyBorder="1" applyAlignment="1">
      <alignment horizontal="center" vertical="center"/>
    </xf>
    <xf numFmtId="3" fontId="45" fillId="0" borderId="92" xfId="1" applyNumberFormat="1" applyFont="1" applyFill="1" applyBorder="1" applyAlignment="1">
      <alignment horizontal="center" vertical="center"/>
    </xf>
    <xf numFmtId="3" fontId="45" fillId="0" borderId="134" xfId="1" applyNumberFormat="1" applyFont="1" applyFill="1" applyBorder="1" applyAlignment="1">
      <alignment horizontal="center" vertical="center"/>
    </xf>
    <xf numFmtId="3" fontId="45" fillId="0" borderId="163" xfId="1" applyNumberFormat="1" applyFont="1" applyFill="1" applyBorder="1" applyAlignment="1">
      <alignment horizontal="center" vertical="center"/>
    </xf>
    <xf numFmtId="3" fontId="45" fillId="0" borderId="225" xfId="1" applyNumberFormat="1" applyFont="1" applyFill="1" applyBorder="1" applyAlignment="1">
      <alignment horizontal="center" vertical="center"/>
    </xf>
    <xf numFmtId="0" fontId="46" fillId="0" borderId="60" xfId="1" applyFont="1" applyFill="1" applyBorder="1" applyAlignment="1">
      <alignment horizontal="center"/>
    </xf>
    <xf numFmtId="0" fontId="38" fillId="0" borderId="143" xfId="1" applyFont="1" applyFill="1" applyBorder="1" applyAlignment="1">
      <alignment horizontal="center" vertical="center"/>
    </xf>
    <xf numFmtId="3" fontId="45" fillId="0" borderId="375" xfId="1" applyNumberFormat="1" applyFont="1" applyFill="1" applyBorder="1" applyAlignment="1">
      <alignment horizontal="center" vertical="center"/>
    </xf>
    <xf numFmtId="3" fontId="45" fillId="0" borderId="373" xfId="1" applyNumberFormat="1" applyFont="1" applyFill="1" applyBorder="1" applyAlignment="1">
      <alignment horizontal="center" vertical="center"/>
    </xf>
    <xf numFmtId="3" fontId="45" fillId="0" borderId="376" xfId="1" applyNumberFormat="1" applyFont="1" applyFill="1" applyBorder="1" applyAlignment="1">
      <alignment horizontal="center" vertical="center"/>
    </xf>
    <xf numFmtId="0" fontId="38" fillId="0" borderId="161" xfId="1" applyFont="1" applyFill="1" applyBorder="1" applyAlignment="1">
      <alignment horizontal="center" vertical="center"/>
    </xf>
    <xf numFmtId="0" fontId="46" fillId="0" borderId="220" xfId="1" applyFont="1" applyFill="1" applyBorder="1" applyAlignment="1">
      <alignment horizontal="center"/>
    </xf>
    <xf numFmtId="3" fontId="45" fillId="0" borderId="221" xfId="1" applyNumberFormat="1" applyFont="1" applyFill="1" applyBorder="1" applyAlignment="1">
      <alignment horizontal="center" vertical="center"/>
    </xf>
    <xf numFmtId="171" fontId="58" fillId="0" borderId="166" xfId="1" applyNumberFormat="1" applyFont="1" applyBorder="1" applyAlignment="1">
      <alignment horizontal="center" vertical="center"/>
    </xf>
    <xf numFmtId="3" fontId="46" fillId="0" borderId="163" xfId="1" applyNumberFormat="1" applyFont="1" applyFill="1" applyBorder="1" applyAlignment="1">
      <alignment horizontal="center" vertical="center"/>
    </xf>
    <xf numFmtId="3" fontId="58" fillId="0" borderId="65" xfId="1" applyNumberFormat="1" applyFont="1" applyFill="1" applyBorder="1" applyAlignment="1">
      <alignment horizontal="center" vertical="center"/>
    </xf>
    <xf numFmtId="3" fontId="58" fillId="0" borderId="0" xfId="1" applyNumberFormat="1" applyFont="1" applyFill="1" applyBorder="1" applyAlignment="1">
      <alignment horizontal="center" vertical="center"/>
    </xf>
    <xf numFmtId="171" fontId="58" fillId="0" borderId="243" xfId="1" applyNumberFormat="1" applyFont="1" applyBorder="1" applyAlignment="1">
      <alignment horizontal="center" vertical="center"/>
    </xf>
    <xf numFmtId="3" fontId="58" fillId="0" borderId="230" xfId="1" applyNumberFormat="1" applyFont="1" applyFill="1" applyBorder="1" applyAlignment="1">
      <alignment horizontal="center" vertical="center"/>
    </xf>
    <xf numFmtId="171" fontId="58" fillId="0" borderId="172" xfId="1" applyNumberFormat="1" applyFont="1" applyBorder="1" applyAlignment="1">
      <alignment horizontal="center" vertical="center"/>
    </xf>
    <xf numFmtId="3" fontId="46" fillId="0" borderId="65" xfId="1" applyNumberFormat="1" applyFont="1" applyFill="1" applyBorder="1" applyAlignment="1">
      <alignment horizontal="center" vertical="center"/>
    </xf>
    <xf numFmtId="171" fontId="58" fillId="0" borderId="180" xfId="1" applyNumberFormat="1" applyFont="1" applyBorder="1" applyAlignment="1">
      <alignment horizontal="center" vertical="center"/>
    </xf>
    <xf numFmtId="171" fontId="58" fillId="0" borderId="164" xfId="1" applyNumberFormat="1" applyFont="1" applyBorder="1" applyAlignment="1">
      <alignment horizontal="center" vertical="center"/>
    </xf>
    <xf numFmtId="3" fontId="35" fillId="0" borderId="354" xfId="1" applyNumberFormat="1" applyFont="1" applyBorder="1" applyAlignment="1">
      <alignment horizontal="center" vertical="center"/>
    </xf>
    <xf numFmtId="0" fontId="72" fillId="0" borderId="0" xfId="1" applyFont="1" applyFill="1" applyBorder="1" applyAlignment="1">
      <alignment horizontal="left" vertical="center"/>
    </xf>
    <xf numFmtId="0" fontId="17" fillId="0" borderId="50" xfId="1" applyFont="1" applyFill="1" applyBorder="1" applyAlignment="1">
      <alignment vertical="center"/>
    </xf>
    <xf numFmtId="0" fontId="72" fillId="0" borderId="50" xfId="1" applyFont="1" applyFill="1" applyBorder="1" applyAlignment="1">
      <alignment horizontal="left" vertical="center"/>
    </xf>
    <xf numFmtId="0" fontId="17" fillId="0" borderId="0" xfId="1" applyFont="1" applyFill="1" applyBorder="1" applyAlignment="1">
      <alignment vertical="center"/>
    </xf>
    <xf numFmtId="0" fontId="73" fillId="0" borderId="0" xfId="1" applyFont="1" applyFill="1" applyBorder="1" applyAlignment="1">
      <alignment horizontal="left" vertical="center"/>
    </xf>
    <xf numFmtId="3" fontId="53" fillId="0" borderId="83" xfId="1" applyNumberFormat="1" applyFont="1" applyFill="1" applyBorder="1" applyAlignment="1">
      <alignment horizontal="center" vertical="center"/>
    </xf>
    <xf numFmtId="0" fontId="63" fillId="0" borderId="0" xfId="1" applyFont="1" applyFill="1" applyAlignment="1">
      <alignment vertical="center"/>
    </xf>
    <xf numFmtId="0" fontId="75" fillId="0" borderId="0" xfId="1" applyFont="1" applyFill="1" applyBorder="1" applyAlignment="1">
      <alignment horizontal="left" vertical="center"/>
    </xf>
    <xf numFmtId="0" fontId="63" fillId="0" borderId="50" xfId="1" applyFont="1" applyFill="1" applyBorder="1" applyAlignment="1">
      <alignment vertical="center"/>
    </xf>
    <xf numFmtId="0" fontId="63" fillId="0" borderId="0" xfId="1" applyFont="1" applyFill="1" applyBorder="1" applyAlignment="1">
      <alignment vertical="center"/>
    </xf>
    <xf numFmtId="0" fontId="74" fillId="0" borderId="158" xfId="1" applyFont="1" applyFill="1" applyBorder="1" applyAlignment="1">
      <alignment horizontal="center" vertical="center"/>
    </xf>
    <xf numFmtId="0" fontId="74" fillId="0" borderId="6" xfId="1" applyFont="1" applyFill="1" applyBorder="1" applyAlignment="1">
      <alignment horizontal="center" vertical="center"/>
    </xf>
    <xf numFmtId="0" fontId="74" fillId="0" borderId="43" xfId="1" applyFont="1" applyFill="1" applyBorder="1" applyAlignment="1">
      <alignment horizontal="center" vertical="center"/>
    </xf>
    <xf numFmtId="3" fontId="53" fillId="0" borderId="0" xfId="1" applyNumberFormat="1" applyFont="1" applyFill="1" applyBorder="1" applyAlignment="1">
      <alignment horizontal="center" vertical="center"/>
    </xf>
    <xf numFmtId="0" fontId="17" fillId="0" borderId="0" xfId="1" applyFont="1" applyFill="1" applyBorder="1"/>
    <xf numFmtId="3" fontId="45" fillId="0" borderId="6" xfId="1" applyNumberFormat="1" applyFont="1" applyFill="1" applyBorder="1" applyAlignment="1">
      <alignment horizontal="center" vertical="center"/>
    </xf>
    <xf numFmtId="3" fontId="69" fillId="0" borderId="83" xfId="1" applyNumberFormat="1" applyFont="1" applyFill="1" applyBorder="1" applyAlignment="1">
      <alignment horizontal="center" vertical="center"/>
    </xf>
    <xf numFmtId="3" fontId="69" fillId="0" borderId="6" xfId="1" applyNumberFormat="1" applyFont="1" applyFill="1" applyBorder="1" applyAlignment="1">
      <alignment horizontal="center" vertical="center"/>
    </xf>
    <xf numFmtId="3" fontId="69" fillId="0" borderId="185" xfId="1" applyNumberFormat="1" applyFont="1" applyFill="1" applyBorder="1" applyAlignment="1">
      <alignment horizontal="center" vertical="center"/>
    </xf>
    <xf numFmtId="3" fontId="45" fillId="0" borderId="189" xfId="1" applyNumberFormat="1" applyFont="1" applyFill="1" applyBorder="1" applyAlignment="1">
      <alignment horizontal="center" vertical="center"/>
    </xf>
    <xf numFmtId="3" fontId="69" fillId="0" borderId="298" xfId="1" applyNumberFormat="1" applyFont="1" applyFill="1" applyBorder="1" applyAlignment="1">
      <alignment horizontal="center" vertical="center"/>
    </xf>
    <xf numFmtId="3" fontId="69" fillId="0" borderId="54" xfId="1" applyNumberFormat="1" applyFont="1" applyFill="1" applyBorder="1" applyAlignment="1">
      <alignment horizontal="center" vertical="center"/>
    </xf>
    <xf numFmtId="3" fontId="69" fillId="0" borderId="0" xfId="1" applyNumberFormat="1" applyFont="1" applyFill="1" applyBorder="1" applyAlignment="1">
      <alignment horizontal="center" vertical="center"/>
    </xf>
    <xf numFmtId="0" fontId="45" fillId="0" borderId="0" xfId="1" applyFont="1" applyFill="1" applyAlignment="1">
      <alignment vertical="center"/>
    </xf>
    <xf numFmtId="0" fontId="45" fillId="0" borderId="50" xfId="1" applyFont="1" applyFill="1" applyBorder="1" applyAlignment="1">
      <alignment vertical="center"/>
    </xf>
    <xf numFmtId="0" fontId="45" fillId="0" borderId="0" xfId="1" applyFont="1" applyFill="1" applyBorder="1" applyAlignment="1">
      <alignment vertical="center"/>
    </xf>
    <xf numFmtId="0" fontId="69" fillId="0" borderId="0" xfId="1" applyFont="1" applyFill="1" applyBorder="1" applyAlignment="1">
      <alignment horizontal="left" vertical="center"/>
    </xf>
    <xf numFmtId="3" fontId="34" fillId="0" borderId="83" xfId="1" applyNumberFormat="1" applyFont="1" applyFill="1" applyBorder="1" applyAlignment="1">
      <alignment horizontal="center" vertical="center"/>
    </xf>
    <xf numFmtId="3" fontId="76" fillId="0" borderId="0" xfId="1" applyNumberFormat="1" applyFont="1" applyFill="1" applyBorder="1" applyAlignment="1">
      <alignment horizontal="center" vertical="center"/>
    </xf>
    <xf numFmtId="3" fontId="77" fillId="0" borderId="0" xfId="1" applyNumberFormat="1" applyFont="1" applyFill="1" applyBorder="1" applyAlignment="1">
      <alignment horizontal="center" vertical="center"/>
    </xf>
    <xf numFmtId="3" fontId="46" fillId="0" borderId="6" xfId="1" applyNumberFormat="1" applyFont="1" applyFill="1" applyBorder="1" applyAlignment="1">
      <alignment horizontal="center" vertical="center"/>
    </xf>
    <xf numFmtId="3" fontId="45" fillId="0" borderId="216" xfId="1" applyNumberFormat="1" applyFont="1" applyFill="1" applyBorder="1" applyAlignment="1">
      <alignment horizontal="center" vertical="center"/>
    </xf>
    <xf numFmtId="3" fontId="45" fillId="0" borderId="83" xfId="1" applyNumberFormat="1" applyFont="1" applyFill="1" applyBorder="1" applyAlignment="1">
      <alignment horizontal="center" vertical="center"/>
    </xf>
    <xf numFmtId="3" fontId="45" fillId="0" borderId="185" xfId="1" applyNumberFormat="1" applyFont="1" applyFill="1" applyBorder="1" applyAlignment="1">
      <alignment horizontal="center" vertical="center"/>
    </xf>
    <xf numFmtId="3" fontId="45" fillId="0" borderId="381" xfId="1" applyNumberFormat="1" applyFont="1" applyFill="1" applyBorder="1" applyAlignment="1">
      <alignment horizontal="center" vertical="center"/>
    </xf>
    <xf numFmtId="3" fontId="58" fillId="3" borderId="6" xfId="1" applyNumberFormat="1" applyFont="1" applyFill="1" applyBorder="1" applyAlignment="1">
      <alignment horizontal="center" vertical="center"/>
    </xf>
    <xf numFmtId="3" fontId="45" fillId="0" borderId="54" xfId="1" applyNumberFormat="1" applyFont="1" applyFill="1" applyBorder="1" applyAlignment="1">
      <alignment horizontal="center" vertical="center"/>
    </xf>
    <xf numFmtId="3" fontId="46" fillId="0" borderId="360" xfId="1" applyNumberFormat="1" applyFont="1" applyFill="1" applyBorder="1" applyAlignment="1">
      <alignment horizontal="center" vertical="center"/>
    </xf>
    <xf numFmtId="3" fontId="58" fillId="3" borderId="1" xfId="1" applyNumberFormat="1" applyFont="1" applyFill="1" applyBorder="1" applyAlignment="1">
      <alignment horizontal="center" vertical="center"/>
    </xf>
    <xf numFmtId="3" fontId="69" fillId="0" borderId="189" xfId="1" applyNumberFormat="1" applyFont="1" applyFill="1" applyBorder="1" applyAlignment="1">
      <alignment horizontal="center" vertical="center"/>
    </xf>
    <xf numFmtId="3" fontId="46" fillId="0" borderId="83" xfId="1" applyNumberFormat="1" applyFont="1" applyFill="1" applyBorder="1" applyAlignment="1">
      <alignment horizontal="center" vertical="center"/>
    </xf>
    <xf numFmtId="3" fontId="69" fillId="0" borderId="381" xfId="1" applyNumberFormat="1" applyFont="1" applyFill="1" applyBorder="1" applyAlignment="1">
      <alignment horizontal="center" vertical="center"/>
    </xf>
    <xf numFmtId="3" fontId="58" fillId="3" borderId="158" xfId="1" applyNumberFormat="1" applyFont="1" applyFill="1" applyBorder="1" applyAlignment="1">
      <alignment horizontal="center" vertical="center"/>
    </xf>
    <xf numFmtId="3" fontId="45" fillId="0" borderId="207" xfId="1" applyNumberFormat="1" applyFont="1" applyFill="1" applyBorder="1" applyAlignment="1">
      <alignment horizontal="center" vertical="center"/>
    </xf>
    <xf numFmtId="3" fontId="69" fillId="0" borderId="158" xfId="1" applyNumberFormat="1" applyFont="1" applyFill="1" applyBorder="1" applyAlignment="1">
      <alignment horizontal="center" vertical="center"/>
    </xf>
    <xf numFmtId="3" fontId="45" fillId="0" borderId="200" xfId="1" applyNumberFormat="1" applyFont="1" applyFill="1" applyBorder="1" applyAlignment="1">
      <alignment horizontal="center" vertical="center"/>
    </xf>
    <xf numFmtId="3" fontId="34" fillId="0" borderId="1" xfId="1" applyNumberFormat="1" applyFont="1" applyFill="1" applyBorder="1" applyAlignment="1">
      <alignment horizontal="center" vertical="center"/>
    </xf>
    <xf numFmtId="3" fontId="45" fillId="0" borderId="1" xfId="1" applyNumberFormat="1" applyFont="1" applyFill="1" applyBorder="1" applyAlignment="1">
      <alignment horizontal="center" vertical="center"/>
    </xf>
    <xf numFmtId="3" fontId="45" fillId="0" borderId="84" xfId="1" applyNumberFormat="1" applyFont="1" applyFill="1" applyBorder="1" applyAlignment="1">
      <alignment horizontal="center" vertical="center"/>
    </xf>
    <xf numFmtId="3" fontId="45" fillId="0" borderId="186" xfId="1" applyNumberFormat="1" applyFont="1" applyFill="1" applyBorder="1" applyAlignment="1">
      <alignment horizontal="center" vertical="center"/>
    </xf>
    <xf numFmtId="3" fontId="78" fillId="0" borderId="0" xfId="1" applyNumberFormat="1" applyFont="1" applyFill="1" applyBorder="1" applyAlignment="1">
      <alignment horizontal="center" vertical="center"/>
    </xf>
    <xf numFmtId="3" fontId="34" fillId="0" borderId="3" xfId="1" applyNumberFormat="1" applyFont="1" applyFill="1" applyBorder="1" applyAlignment="1">
      <alignment horizontal="center" vertical="center"/>
    </xf>
    <xf numFmtId="3" fontId="34" fillId="0" borderId="18" xfId="1" applyNumberFormat="1" applyFont="1" applyFill="1" applyBorder="1" applyAlignment="1">
      <alignment horizontal="center" vertical="center"/>
    </xf>
    <xf numFmtId="3" fontId="69" fillId="0" borderId="360" xfId="1" applyNumberFormat="1" applyFont="1" applyFill="1" applyBorder="1" applyAlignment="1">
      <alignment horizontal="center" vertical="center"/>
    </xf>
    <xf numFmtId="0" fontId="45" fillId="0" borderId="0" xfId="1" applyFont="1"/>
    <xf numFmtId="0" fontId="79" fillId="0" borderId="0" xfId="1" applyFont="1" applyFill="1" applyBorder="1" applyAlignment="1">
      <alignment horizontal="left" vertical="center"/>
    </xf>
    <xf numFmtId="0" fontId="79" fillId="0" borderId="50" xfId="1" applyFont="1" applyFill="1" applyBorder="1" applyAlignment="1">
      <alignment horizontal="left" vertical="center"/>
    </xf>
    <xf numFmtId="3" fontId="80" fillId="0" borderId="0" xfId="1" applyNumberFormat="1" applyFont="1" applyFill="1" applyBorder="1" applyAlignment="1">
      <alignment horizontal="center" vertical="center"/>
    </xf>
    <xf numFmtId="0" fontId="81" fillId="0" borderId="0" xfId="1" applyFont="1" applyFill="1" applyBorder="1" applyAlignment="1">
      <alignment horizontal="left" vertical="center"/>
    </xf>
    <xf numFmtId="3" fontId="58" fillId="3" borderId="84" xfId="1" applyNumberFormat="1" applyFont="1" applyFill="1" applyBorder="1" applyAlignment="1">
      <alignment horizontal="center" vertical="center"/>
    </xf>
    <xf numFmtId="3" fontId="69" fillId="0" borderId="216" xfId="1" applyNumberFormat="1" applyFont="1" applyFill="1" applyBorder="1" applyAlignment="1">
      <alignment horizontal="center" vertical="center"/>
    </xf>
    <xf numFmtId="3" fontId="46" fillId="0" borderId="189" xfId="1" applyNumberFormat="1" applyFont="1" applyFill="1" applyBorder="1" applyAlignment="1">
      <alignment horizontal="center" vertical="center"/>
    </xf>
    <xf numFmtId="3" fontId="45" fillId="0" borderId="89" xfId="1" applyNumberFormat="1" applyFont="1" applyFill="1" applyBorder="1" applyAlignment="1">
      <alignment horizontal="center" vertical="center"/>
    </xf>
    <xf numFmtId="0" fontId="79" fillId="0" borderId="219" xfId="1" applyFont="1" applyFill="1" applyBorder="1" applyAlignment="1">
      <alignment horizontal="left" vertical="center"/>
    </xf>
    <xf numFmtId="3" fontId="45" fillId="0" borderId="53" xfId="1" applyNumberFormat="1" applyFont="1" applyFill="1" applyBorder="1" applyAlignment="1">
      <alignment horizontal="center" vertical="center"/>
    </xf>
    <xf numFmtId="3" fontId="45" fillId="0" borderId="0" xfId="1" applyNumberFormat="1" applyFont="1" applyFill="1" applyBorder="1" applyAlignment="1">
      <alignment vertical="center"/>
    </xf>
    <xf numFmtId="3" fontId="46" fillId="0" borderId="84" xfId="1" applyNumberFormat="1" applyFont="1" applyFill="1" applyBorder="1" applyAlignment="1">
      <alignment horizontal="center" vertical="center"/>
    </xf>
    <xf numFmtId="3" fontId="34" fillId="3" borderId="83" xfId="1" applyNumberFormat="1" applyFont="1" applyFill="1" applyBorder="1" applyAlignment="1">
      <alignment horizontal="center" vertical="center"/>
    </xf>
    <xf numFmtId="3" fontId="45" fillId="0" borderId="187" xfId="1" applyNumberFormat="1" applyFont="1" applyFill="1" applyBorder="1" applyAlignment="1">
      <alignment horizontal="center" vertical="center"/>
    </xf>
    <xf numFmtId="3" fontId="45" fillId="0" borderId="212" xfId="1" applyNumberFormat="1" applyFont="1" applyFill="1" applyBorder="1" applyAlignment="1">
      <alignment horizontal="center" vertical="center"/>
    </xf>
    <xf numFmtId="0" fontId="82" fillId="0" borderId="199" xfId="15" applyFont="1" applyFill="1" applyBorder="1" applyAlignment="1">
      <alignment horizontal="left" vertical="center"/>
    </xf>
    <xf numFmtId="0" fontId="82" fillId="0" borderId="59" xfId="15" applyFont="1" applyFill="1" applyBorder="1" applyAlignment="1">
      <alignment horizontal="left" vertical="center"/>
    </xf>
    <xf numFmtId="0" fontId="82" fillId="0" borderId="5" xfId="15" applyFont="1" applyFill="1" applyBorder="1" applyAlignment="1">
      <alignment horizontal="left" vertical="center"/>
    </xf>
    <xf numFmtId="0" fontId="45" fillId="0" borderId="149" xfId="1" applyFont="1" applyFill="1" applyBorder="1" applyAlignment="1">
      <alignment horizontal="left" vertical="center"/>
    </xf>
    <xf numFmtId="0" fontId="82" fillId="0" borderId="118" xfId="15" applyFont="1" applyFill="1" applyBorder="1" applyAlignment="1">
      <alignment horizontal="left" vertical="center"/>
    </xf>
    <xf numFmtId="0" fontId="45" fillId="0" borderId="199" xfId="1" applyFont="1" applyFill="1" applyBorder="1" applyAlignment="1">
      <alignment horizontal="left" vertical="center"/>
    </xf>
    <xf numFmtId="0" fontId="82" fillId="0" borderId="202" xfId="15" applyFont="1" applyFill="1" applyBorder="1" applyAlignment="1">
      <alignment horizontal="left" vertical="center"/>
    </xf>
    <xf numFmtId="0" fontId="82" fillId="0" borderId="163" xfId="15" applyFont="1" applyFill="1" applyBorder="1" applyAlignment="1">
      <alignment horizontal="left" vertical="center"/>
    </xf>
    <xf numFmtId="0" fontId="82" fillId="0" borderId="228" xfId="15" applyFont="1" applyFill="1" applyBorder="1" applyAlignment="1">
      <alignment horizontal="left" vertical="center"/>
    </xf>
    <xf numFmtId="0" fontId="82" fillId="0" borderId="90" xfId="15" applyFont="1" applyFill="1" applyBorder="1" applyAlignment="1">
      <alignment horizontal="left" vertical="center"/>
    </xf>
    <xf numFmtId="0" fontId="82" fillId="0" borderId="238" xfId="15" applyFont="1" applyFill="1" applyBorder="1" applyAlignment="1">
      <alignment horizontal="left" vertical="center"/>
    </xf>
    <xf numFmtId="0" fontId="69" fillId="0" borderId="5" xfId="1" applyFont="1" applyFill="1" applyBorder="1" applyAlignment="1">
      <alignment horizontal="left" vertical="center"/>
    </xf>
    <xf numFmtId="0" fontId="69" fillId="0" borderId="163" xfId="1" applyFont="1" applyFill="1" applyBorder="1" applyAlignment="1">
      <alignment horizontal="left" vertical="center"/>
    </xf>
    <xf numFmtId="0" fontId="69" fillId="0" borderId="59" xfId="1" applyFont="1" applyFill="1" applyBorder="1" applyAlignment="1">
      <alignment horizontal="left" vertical="center"/>
    </xf>
    <xf numFmtId="0" fontId="82" fillId="2" borderId="118" xfId="15" applyFont="1" applyFill="1" applyBorder="1" applyAlignment="1">
      <alignment horizontal="left" vertical="center"/>
    </xf>
    <xf numFmtId="0" fontId="82" fillId="0" borderId="225" xfId="15" applyFont="1" applyFill="1" applyBorder="1" applyAlignment="1">
      <alignment horizontal="left" vertical="center"/>
    </xf>
    <xf numFmtId="0" fontId="69" fillId="0" borderId="118" xfId="1" applyFont="1" applyFill="1" applyBorder="1" applyAlignment="1">
      <alignment horizontal="left" vertical="center"/>
    </xf>
    <xf numFmtId="0" fontId="82" fillId="0" borderId="81" xfId="15" applyFont="1" applyFill="1" applyBorder="1" applyAlignment="1">
      <alignment horizontal="left" vertical="center"/>
    </xf>
    <xf numFmtId="0" fontId="82" fillId="0" borderId="149" xfId="15" applyFont="1" applyFill="1" applyBorder="1" applyAlignment="1">
      <alignment horizontal="left" vertical="center"/>
    </xf>
    <xf numFmtId="3" fontId="69" fillId="0" borderId="5" xfId="1" applyNumberFormat="1" applyFont="1" applyFill="1" applyBorder="1" applyAlignment="1">
      <alignment horizontal="left" vertical="center"/>
    </xf>
    <xf numFmtId="0" fontId="44" fillId="0" borderId="59" xfId="1" applyFont="1" applyFill="1" applyBorder="1" applyAlignment="1">
      <alignment horizontal="left" vertical="center"/>
    </xf>
    <xf numFmtId="3" fontId="69" fillId="0" borderId="238" xfId="1" applyNumberFormat="1" applyFont="1" applyFill="1" applyBorder="1" applyAlignment="1">
      <alignment horizontal="left" vertical="center"/>
    </xf>
    <xf numFmtId="3" fontId="82" fillId="0" borderId="59" xfId="15" applyNumberFormat="1" applyFont="1" applyFill="1" applyBorder="1" applyAlignment="1">
      <alignment horizontal="left" vertical="center"/>
    </xf>
    <xf numFmtId="0" fontId="45" fillId="0" borderId="5" xfId="15" applyFont="1" applyFill="1" applyBorder="1" applyAlignment="1">
      <alignment horizontal="left" vertical="center"/>
    </xf>
    <xf numFmtId="0" fontId="45" fillId="0" borderId="163" xfId="1" applyFont="1" applyFill="1" applyBorder="1" applyAlignment="1">
      <alignment horizontal="left" vertical="center"/>
    </xf>
    <xf numFmtId="0" fontId="45" fillId="0" borderId="118" xfId="1" applyFont="1" applyFill="1" applyBorder="1" applyAlignment="1">
      <alignment horizontal="left" vertical="center"/>
    </xf>
    <xf numFmtId="3" fontId="69" fillId="0" borderId="59" xfId="1" applyNumberFormat="1" applyFont="1" applyFill="1" applyBorder="1" applyAlignment="1">
      <alignment horizontal="left" vertical="center"/>
    </xf>
    <xf numFmtId="0" fontId="84" fillId="0" borderId="5" xfId="15" applyFont="1" applyFill="1" applyBorder="1" applyAlignment="1">
      <alignment horizontal="left" vertical="center"/>
    </xf>
    <xf numFmtId="3" fontId="53" fillId="0" borderId="84" xfId="1" applyNumberFormat="1" applyFont="1" applyFill="1" applyBorder="1" applyAlignment="1">
      <alignment horizontal="center" vertical="center"/>
    </xf>
    <xf numFmtId="0" fontId="74" fillId="0" borderId="47" xfId="1" applyFont="1" applyFill="1" applyBorder="1" applyAlignment="1">
      <alignment horizontal="center" vertical="center"/>
    </xf>
    <xf numFmtId="0" fontId="82" fillId="17" borderId="199" xfId="15" applyFont="1" applyFill="1" applyBorder="1" applyAlignment="1">
      <alignment horizontal="left" vertical="center"/>
    </xf>
    <xf numFmtId="0" fontId="82" fillId="0" borderId="118" xfId="15" applyFont="1" applyFill="1" applyBorder="1" applyAlignment="1">
      <alignment vertical="center"/>
    </xf>
    <xf numFmtId="0" fontId="82" fillId="0" borderId="0" xfId="15" applyFont="1" applyFill="1" applyBorder="1" applyAlignment="1">
      <alignment horizontal="left" vertical="center"/>
    </xf>
    <xf numFmtId="0" fontId="76" fillId="0" borderId="0" xfId="1" applyFont="1" applyFill="1" applyBorder="1" applyAlignment="1">
      <alignment horizontal="left" vertical="center"/>
    </xf>
    <xf numFmtId="0" fontId="77" fillId="0" borderId="0" xfId="1" applyFont="1" applyFill="1" applyBorder="1" applyAlignment="1">
      <alignment horizontal="left" vertical="center"/>
    </xf>
    <xf numFmtId="0" fontId="45" fillId="0" borderId="218" xfId="1" applyFont="1" applyFill="1" applyBorder="1" applyAlignment="1">
      <alignment horizontal="left" vertical="center"/>
    </xf>
    <xf numFmtId="0" fontId="45" fillId="0" borderId="198" xfId="1" applyFont="1" applyFill="1" applyBorder="1" applyAlignment="1">
      <alignment horizontal="left" vertical="center"/>
    </xf>
    <xf numFmtId="0" fontId="45" fillId="0" borderId="199" xfId="1" applyFont="1" applyFill="1" applyBorder="1" applyAlignment="1">
      <alignment vertical="center"/>
    </xf>
    <xf numFmtId="0" fontId="86" fillId="0" borderId="199" xfId="1" applyFont="1" applyFill="1" applyBorder="1" applyAlignment="1">
      <alignment horizontal="left" vertical="center"/>
    </xf>
    <xf numFmtId="0" fontId="69" fillId="0" borderId="199" xfId="1" applyFont="1" applyFill="1" applyBorder="1" applyAlignment="1">
      <alignment horizontal="left" vertical="center"/>
    </xf>
    <xf numFmtId="0" fontId="48" fillId="0" borderId="5" xfId="1" applyFont="1" applyFill="1" applyBorder="1" applyAlignment="1">
      <alignment horizontal="left" vertical="center"/>
    </xf>
    <xf numFmtId="0" fontId="45" fillId="0" borderId="90" xfId="1" applyFont="1" applyFill="1" applyBorder="1" applyAlignment="1">
      <alignment horizontal="left" vertical="center"/>
    </xf>
    <xf numFmtId="0" fontId="85" fillId="0" borderId="0" xfId="1" applyFont="1" applyFill="1" applyBorder="1" applyAlignment="1">
      <alignment horizontal="left" vertical="center"/>
    </xf>
    <xf numFmtId="0" fontId="45" fillId="0" borderId="201" xfId="1" applyFont="1" applyFill="1" applyBorder="1" applyAlignment="1">
      <alignment horizontal="left" vertical="center"/>
    </xf>
    <xf numFmtId="0" fontId="48" fillId="0" borderId="0" xfId="1" applyFont="1" applyFill="1" applyBorder="1" applyAlignment="1">
      <alignment horizontal="left" vertical="center"/>
    </xf>
    <xf numFmtId="0" fontId="82" fillId="0" borderId="0" xfId="15" applyFont="1" applyFill="1" applyBorder="1" applyAlignment="1">
      <alignment vertical="center"/>
    </xf>
    <xf numFmtId="0" fontId="45" fillId="0" borderId="202" xfId="1" applyFont="1" applyFill="1" applyBorder="1" applyAlignment="1">
      <alignment horizontal="left" vertical="center"/>
    </xf>
    <xf numFmtId="0" fontId="82" fillId="0" borderId="236" xfId="15" applyFont="1" applyFill="1" applyBorder="1" applyAlignment="1">
      <alignment vertical="center"/>
    </xf>
    <xf numFmtId="0" fontId="82" fillId="0" borderId="213" xfId="15" applyFont="1" applyFill="1" applyBorder="1" applyAlignment="1">
      <alignment horizontal="left" vertical="center"/>
    </xf>
    <xf numFmtId="0" fontId="82" fillId="0" borderId="0" xfId="15" applyFont="1" applyFill="1" applyAlignment="1">
      <alignment vertical="center"/>
    </xf>
    <xf numFmtId="3" fontId="58" fillId="0" borderId="39" xfId="1" applyNumberFormat="1" applyFont="1" applyFill="1" applyBorder="1" applyAlignment="1">
      <alignment horizontal="left" vertical="center"/>
    </xf>
    <xf numFmtId="3" fontId="58" fillId="0" borderId="19" xfId="1" applyNumberFormat="1" applyFont="1" applyFill="1" applyBorder="1" applyAlignment="1">
      <alignment horizontal="left" vertical="center"/>
    </xf>
    <xf numFmtId="3" fontId="78" fillId="0" borderId="0" xfId="1" applyNumberFormat="1" applyFont="1" applyFill="1" applyBorder="1" applyAlignment="1">
      <alignment horizontal="left" vertical="center"/>
    </xf>
    <xf numFmtId="0" fontId="82" fillId="0" borderId="50" xfId="15" applyFont="1" applyFill="1" applyBorder="1" applyAlignment="1">
      <alignment vertical="center"/>
    </xf>
    <xf numFmtId="0" fontId="82" fillId="0" borderId="8" xfId="15" applyFont="1" applyFill="1" applyBorder="1" applyAlignment="1">
      <alignment vertical="center"/>
    </xf>
    <xf numFmtId="3" fontId="58" fillId="0" borderId="23" xfId="1" applyNumberFormat="1" applyFont="1" applyFill="1" applyBorder="1" applyAlignment="1">
      <alignment horizontal="center" vertical="center" wrapText="1"/>
    </xf>
    <xf numFmtId="0" fontId="69" fillId="0" borderId="198" xfId="1" applyFont="1" applyFill="1" applyBorder="1" applyAlignment="1">
      <alignment horizontal="left" vertical="center"/>
    </xf>
    <xf numFmtId="0" fontId="69" fillId="3" borderId="197" xfId="1" applyFont="1" applyFill="1" applyBorder="1" applyAlignment="1">
      <alignment horizontal="left" vertical="center"/>
    </xf>
    <xf numFmtId="3" fontId="45" fillId="0" borderId="199" xfId="1" applyNumberFormat="1" applyFont="1" applyFill="1" applyBorder="1" applyAlignment="1">
      <alignment horizontal="left" vertical="center"/>
    </xf>
    <xf numFmtId="3" fontId="76" fillId="0" borderId="0" xfId="1" applyNumberFormat="1" applyFont="1" applyFill="1" applyBorder="1" applyAlignment="1">
      <alignment horizontal="left" vertical="center"/>
    </xf>
    <xf numFmtId="0" fontId="82" fillId="0" borderId="52" xfId="15" applyFont="1" applyFill="1" applyBorder="1" applyAlignment="1">
      <alignment horizontal="left" vertical="center"/>
    </xf>
    <xf numFmtId="0" fontId="45" fillId="0" borderId="81" xfId="1" applyFont="1" applyFill="1" applyBorder="1" applyAlignment="1">
      <alignment horizontal="left" vertical="center"/>
    </xf>
    <xf numFmtId="0" fontId="45" fillId="0" borderId="5" xfId="1" applyFont="1" applyFill="1" applyBorder="1" applyAlignment="1">
      <alignment horizontal="left" vertical="center"/>
    </xf>
    <xf numFmtId="0" fontId="45" fillId="0" borderId="81" xfId="1" applyFont="1" applyFill="1" applyBorder="1" applyAlignment="1">
      <alignment vertical="center"/>
    </xf>
    <xf numFmtId="0" fontId="69" fillId="3" borderId="5" xfId="1" applyFont="1" applyFill="1" applyBorder="1" applyAlignment="1">
      <alignment horizontal="left" vertical="center"/>
    </xf>
    <xf numFmtId="0" fontId="82" fillId="0" borderId="50" xfId="15" applyFont="1" applyFill="1" applyBorder="1" applyAlignment="1">
      <alignment horizontal="left" vertical="center"/>
    </xf>
    <xf numFmtId="0" fontId="83" fillId="0" borderId="118" xfId="15" applyFont="1" applyFill="1" applyBorder="1" applyAlignment="1">
      <alignment horizontal="left" vertical="center"/>
    </xf>
    <xf numFmtId="3" fontId="58" fillId="0" borderId="0" xfId="1" applyNumberFormat="1" applyFont="1" applyFill="1" applyBorder="1" applyAlignment="1">
      <alignment horizontal="left" vertical="center"/>
    </xf>
    <xf numFmtId="3" fontId="45" fillId="0" borderId="0" xfId="1" applyNumberFormat="1" applyFont="1" applyFill="1" applyBorder="1" applyAlignment="1">
      <alignment horizontal="left" vertical="center"/>
    </xf>
    <xf numFmtId="0" fontId="48" fillId="0" borderId="0" xfId="1" applyFont="1" applyFill="1" applyBorder="1" applyAlignment="1">
      <alignment vertical="center"/>
    </xf>
    <xf numFmtId="0" fontId="46" fillId="0" borderId="38" xfId="1" applyFont="1" applyFill="1" applyBorder="1" applyAlignment="1">
      <alignment horizontal="center" vertical="center"/>
    </xf>
    <xf numFmtId="0" fontId="34" fillId="0" borderId="38" xfId="1" applyFont="1" applyFill="1" applyBorder="1" applyAlignment="1">
      <alignment horizontal="left" vertical="center"/>
    </xf>
    <xf numFmtId="0" fontId="59" fillId="3" borderId="49" xfId="1" applyFont="1" applyFill="1" applyBorder="1" applyAlignment="1">
      <alignment horizontal="center" vertical="center"/>
    </xf>
    <xf numFmtId="0" fontId="45" fillId="0" borderId="38" xfId="1" applyFont="1" applyFill="1" applyBorder="1" applyAlignment="1">
      <alignment vertical="center"/>
    </xf>
    <xf numFmtId="0" fontId="87" fillId="0" borderId="38" xfId="1" applyFont="1" applyFill="1" applyBorder="1" applyAlignment="1">
      <alignment horizontal="left" vertical="center"/>
    </xf>
    <xf numFmtId="0" fontId="77" fillId="0" borderId="38" xfId="1" applyFont="1" applyFill="1" applyBorder="1" applyAlignment="1">
      <alignment horizontal="left" vertical="center"/>
    </xf>
    <xf numFmtId="0" fontId="59" fillId="0" borderId="6" xfId="1" applyFont="1" applyFill="1" applyBorder="1" applyAlignment="1">
      <alignment horizontal="center" vertical="center"/>
    </xf>
    <xf numFmtId="0" fontId="45" fillId="0" borderId="38" xfId="1" applyFont="1" applyFill="1" applyBorder="1" applyAlignment="1">
      <alignment horizontal="left" vertical="center"/>
    </xf>
    <xf numFmtId="0" fontId="59" fillId="0" borderId="85" xfId="1" applyFont="1" applyFill="1" applyBorder="1" applyAlignment="1">
      <alignment horizontal="center" vertical="center"/>
    </xf>
    <xf numFmtId="3" fontId="45" fillId="0" borderId="38" xfId="1" applyNumberFormat="1" applyFont="1" applyFill="1" applyBorder="1" applyAlignment="1">
      <alignment horizontal="left" vertical="center"/>
    </xf>
    <xf numFmtId="0" fontId="69" fillId="0" borderId="38" xfId="1" applyFont="1" applyFill="1" applyBorder="1" applyAlignment="1">
      <alignment horizontal="left" vertical="center"/>
    </xf>
    <xf numFmtId="0" fontId="69" fillId="0" borderId="214" xfId="1" applyFont="1" applyFill="1" applyBorder="1" applyAlignment="1">
      <alignment horizontal="left" vertical="center"/>
    </xf>
    <xf numFmtId="0" fontId="59" fillId="0" borderId="0" xfId="1" applyFont="1" applyFill="1" applyBorder="1" applyAlignment="1">
      <alignment horizontal="center" vertical="center"/>
    </xf>
    <xf numFmtId="0" fontId="69" fillId="0" borderId="83" xfId="1" applyFont="1" applyFill="1" applyBorder="1" applyAlignment="1">
      <alignment horizontal="left" vertical="center"/>
    </xf>
    <xf numFmtId="0" fontId="59" fillId="0" borderId="94" xfId="1" applyFont="1" applyFill="1" applyBorder="1" applyAlignment="1">
      <alignment horizontal="center" vertical="center"/>
    </xf>
    <xf numFmtId="0" fontId="69" fillId="0" borderId="18" xfId="1" applyFont="1" applyFill="1" applyBorder="1" applyAlignment="1">
      <alignment horizontal="left" vertical="center"/>
    </xf>
    <xf numFmtId="0" fontId="59" fillId="0" borderId="18" xfId="1" applyFont="1" applyFill="1" applyBorder="1" applyAlignment="1">
      <alignment horizontal="center" vertical="center"/>
    </xf>
    <xf numFmtId="0" fontId="48" fillId="0" borderId="38" xfId="1" applyFont="1" applyFill="1" applyBorder="1" applyAlignment="1">
      <alignment vertical="center"/>
    </xf>
    <xf numFmtId="0" fontId="34" fillId="0" borderId="85" xfId="1" applyFont="1" applyFill="1" applyBorder="1" applyAlignment="1">
      <alignment horizontal="left" vertical="center"/>
    </xf>
    <xf numFmtId="0" fontId="59" fillId="0" borderId="8" xfId="1" applyFont="1" applyFill="1" applyBorder="1" applyAlignment="1">
      <alignment horizontal="center" vertical="center"/>
    </xf>
    <xf numFmtId="0" fontId="59" fillId="0" borderId="49" xfId="1" applyFont="1" applyFill="1" applyBorder="1" applyAlignment="1">
      <alignment horizontal="center" vertical="center"/>
    </xf>
    <xf numFmtId="0" fontId="59" fillId="3" borderId="38" xfId="1" applyFont="1" applyFill="1" applyBorder="1" applyAlignment="1">
      <alignment horizontal="center" vertical="center"/>
    </xf>
    <xf numFmtId="0" fontId="59" fillId="0" borderId="217" xfId="1" applyFont="1" applyFill="1" applyBorder="1" applyAlignment="1">
      <alignment horizontal="center" vertical="center"/>
    </xf>
    <xf numFmtId="0" fontId="45" fillId="0" borderId="217" xfId="1" applyFont="1" applyFill="1" applyBorder="1" applyAlignment="1">
      <alignment horizontal="left" vertical="center"/>
    </xf>
    <xf numFmtId="0" fontId="45" fillId="0" borderId="85" xfId="1" applyFont="1" applyFill="1" applyBorder="1" applyAlignment="1">
      <alignment vertical="center"/>
    </xf>
    <xf numFmtId="0" fontId="69" fillId="0" borderId="6" xfId="1" applyFont="1" applyFill="1" applyBorder="1" applyAlignment="1">
      <alignment horizontal="left" vertical="center"/>
    </xf>
    <xf numFmtId="0" fontId="86" fillId="0" borderId="38" xfId="1" applyFont="1" applyFill="1" applyBorder="1" applyAlignment="1">
      <alignment horizontal="left" vertical="center"/>
    </xf>
    <xf numFmtId="0" fontId="59" fillId="0" borderId="214" xfId="1" applyFont="1" applyFill="1" applyBorder="1" applyAlignment="1">
      <alignment horizontal="center" vertical="center"/>
    </xf>
    <xf numFmtId="0" fontId="69" fillId="0" borderId="93" xfId="1" applyFont="1" applyFill="1" applyBorder="1" applyAlignment="1">
      <alignment horizontal="left" vertical="center"/>
    </xf>
    <xf numFmtId="0" fontId="59" fillId="0" borderId="4" xfId="1" applyFont="1" applyFill="1" applyBorder="1" applyAlignment="1">
      <alignment horizontal="center" vertical="center"/>
    </xf>
    <xf numFmtId="0" fontId="69" fillId="0" borderId="4" xfId="1" applyFont="1" applyFill="1" applyBorder="1" applyAlignment="1">
      <alignment horizontal="left" vertical="center"/>
    </xf>
    <xf numFmtId="0" fontId="59" fillId="0" borderId="192" xfId="1" applyFont="1" applyFill="1" applyBorder="1" applyAlignment="1">
      <alignment horizontal="center" vertical="center"/>
    </xf>
    <xf numFmtId="0" fontId="34" fillId="0" borderId="215" xfId="1" applyFont="1" applyFill="1" applyBorder="1" applyAlignment="1">
      <alignment horizontal="left" vertical="center"/>
    </xf>
    <xf numFmtId="0" fontId="59" fillId="3" borderId="8" xfId="1" applyFont="1" applyFill="1" applyBorder="1" applyAlignment="1">
      <alignment horizontal="center" vertical="center"/>
    </xf>
    <xf numFmtId="0" fontId="69" fillId="0" borderId="85" xfId="1" applyFont="1" applyFill="1" applyBorder="1" applyAlignment="1">
      <alignment horizontal="left" vertical="center"/>
    </xf>
    <xf numFmtId="0" fontId="48" fillId="0" borderId="18" xfId="1" applyFont="1" applyFill="1" applyBorder="1" applyAlignment="1">
      <alignment vertical="center"/>
    </xf>
    <xf numFmtId="3" fontId="45" fillId="0" borderId="18" xfId="1" applyNumberFormat="1" applyFont="1" applyFill="1" applyBorder="1" applyAlignment="1">
      <alignment horizontal="left" vertical="center"/>
    </xf>
    <xf numFmtId="0" fontId="69" fillId="0" borderId="237" xfId="1" applyFont="1" applyFill="1" applyBorder="1" applyAlignment="1">
      <alignment horizontal="left" vertical="center"/>
    </xf>
    <xf numFmtId="0" fontId="59" fillId="0" borderId="83" xfId="1" applyFont="1" applyFill="1" applyBorder="1" applyAlignment="1">
      <alignment horizontal="center" vertical="center"/>
    </xf>
    <xf numFmtId="0" fontId="45" fillId="0" borderId="4" xfId="1" applyFont="1" applyFill="1" applyBorder="1" applyAlignment="1">
      <alignment horizontal="left" vertical="center"/>
    </xf>
    <xf numFmtId="0" fontId="34" fillId="0" borderId="9" xfId="1" applyFont="1" applyFill="1" applyBorder="1" applyAlignment="1">
      <alignment horizontal="left" vertical="center"/>
    </xf>
    <xf numFmtId="0" fontId="86" fillId="0" borderId="0" xfId="1" applyFont="1" applyFill="1" applyBorder="1" applyAlignment="1">
      <alignment horizontal="left" vertical="center"/>
    </xf>
    <xf numFmtId="0" fontId="45" fillId="0" borderId="18" xfId="1" applyFont="1" applyFill="1" applyBorder="1" applyAlignment="1">
      <alignment vertical="center"/>
    </xf>
    <xf numFmtId="3" fontId="45" fillId="0" borderId="6" xfId="1" applyNumberFormat="1" applyFont="1" applyFill="1" applyBorder="1" applyAlignment="1">
      <alignment horizontal="left" vertical="center"/>
    </xf>
    <xf numFmtId="3" fontId="45" fillId="0" borderId="85" xfId="1" applyNumberFormat="1" applyFont="1" applyFill="1" applyBorder="1" applyAlignment="1">
      <alignment horizontal="left" vertical="center"/>
    </xf>
    <xf numFmtId="0" fontId="69" fillId="0" borderId="44" xfId="1" applyFont="1" applyFill="1" applyBorder="1" applyAlignment="1">
      <alignment horizontal="left" vertical="center"/>
    </xf>
    <xf numFmtId="0" fontId="45" fillId="0" borderId="4" xfId="1" applyFont="1" applyFill="1" applyBorder="1" applyAlignment="1">
      <alignment vertical="center"/>
    </xf>
    <xf numFmtId="0" fontId="59" fillId="3" borderId="6" xfId="1" applyFont="1" applyFill="1" applyBorder="1" applyAlignment="1">
      <alignment horizontal="center" vertical="center"/>
    </xf>
    <xf numFmtId="0" fontId="58" fillId="0" borderId="38" xfId="1" applyFont="1" applyFill="1" applyBorder="1" applyAlignment="1">
      <alignment vertical="center"/>
    </xf>
    <xf numFmtId="0" fontId="59" fillId="3" borderId="121" xfId="1" applyFont="1" applyFill="1" applyBorder="1" applyAlignment="1">
      <alignment horizontal="center" vertical="center"/>
    </xf>
    <xf numFmtId="0" fontId="59" fillId="0" borderId="205" xfId="1" applyFont="1" applyFill="1" applyBorder="1" applyAlignment="1">
      <alignment horizontal="center" vertical="center"/>
    </xf>
    <xf numFmtId="0" fontId="59" fillId="0" borderId="158" xfId="1" applyFont="1" applyFill="1" applyBorder="1" applyAlignment="1">
      <alignment horizontal="center" vertical="center"/>
    </xf>
    <xf numFmtId="0" fontId="45" fillId="0" borderId="18" xfId="1" applyFont="1" applyFill="1" applyBorder="1" applyAlignment="1">
      <alignment horizontal="left" vertical="center"/>
    </xf>
    <xf numFmtId="0" fontId="45" fillId="0" borderId="161" xfId="1" applyFont="1" applyFill="1" applyBorder="1" applyAlignment="1">
      <alignment horizontal="center" vertical="center"/>
    </xf>
    <xf numFmtId="0" fontId="45" fillId="0" borderId="83" xfId="1" applyFont="1" applyFill="1" applyBorder="1" applyAlignment="1">
      <alignment horizontal="center" vertical="center"/>
    </xf>
    <xf numFmtId="0" fontId="45" fillId="0" borderId="85" xfId="1" applyFont="1" applyFill="1" applyBorder="1" applyAlignment="1">
      <alignment horizontal="left" vertical="center"/>
    </xf>
    <xf numFmtId="3" fontId="58" fillId="0" borderId="6" xfId="1" applyNumberFormat="1" applyFont="1" applyFill="1" applyBorder="1" applyAlignment="1">
      <alignment horizontal="left" vertical="center"/>
    </xf>
    <xf numFmtId="0" fontId="45" fillId="0" borderId="6" xfId="1" applyFont="1" applyFill="1" applyBorder="1" applyAlignment="1">
      <alignment horizontal="left" vertical="center"/>
    </xf>
    <xf numFmtId="3" fontId="58" fillId="0" borderId="18" xfId="1" applyNumberFormat="1" applyFont="1" applyFill="1" applyBorder="1" applyAlignment="1">
      <alignment horizontal="left" vertical="center"/>
    </xf>
    <xf numFmtId="0" fontId="45" fillId="3" borderId="6" xfId="1" applyFont="1" applyFill="1" applyBorder="1" applyAlignment="1">
      <alignment vertical="center"/>
    </xf>
    <xf numFmtId="0" fontId="45" fillId="0" borderId="6" xfId="1" applyFont="1" applyFill="1" applyBorder="1" applyAlignment="1">
      <alignment vertical="center"/>
    </xf>
    <xf numFmtId="0" fontId="85" fillId="0" borderId="8" xfId="1" applyFont="1" applyFill="1" applyBorder="1" applyAlignment="1">
      <alignment horizontal="left" vertical="center"/>
    </xf>
    <xf numFmtId="3" fontId="58" fillId="0" borderId="4" xfId="1" applyNumberFormat="1" applyFont="1" applyFill="1" applyBorder="1" applyAlignment="1">
      <alignment horizontal="left" vertical="center"/>
    </xf>
    <xf numFmtId="0" fontId="69" fillId="0" borderId="217" xfId="1" applyFont="1" applyFill="1" applyBorder="1" applyAlignment="1">
      <alignment horizontal="left" vertical="center"/>
    </xf>
    <xf numFmtId="0" fontId="48" fillId="0" borderId="83" xfId="1" applyFont="1" applyFill="1" applyBorder="1" applyAlignment="1">
      <alignment vertical="center"/>
    </xf>
    <xf numFmtId="0" fontId="45" fillId="0" borderId="192" xfId="1" applyFont="1" applyFill="1" applyBorder="1" applyAlignment="1">
      <alignment horizontal="left" vertical="center"/>
    </xf>
    <xf numFmtId="3" fontId="45" fillId="0" borderId="83" xfId="1" applyNumberFormat="1" applyFont="1" applyFill="1" applyBorder="1" applyAlignment="1">
      <alignment horizontal="left" vertical="center"/>
    </xf>
    <xf numFmtId="0" fontId="45" fillId="0" borderId="49" xfId="1" applyFont="1" applyFill="1" applyBorder="1" applyAlignment="1">
      <alignment vertical="center"/>
    </xf>
    <xf numFmtId="0" fontId="45" fillId="0" borderId="110" xfId="1" applyFont="1" applyFill="1" applyBorder="1" applyAlignment="1">
      <alignment vertical="center"/>
    </xf>
    <xf numFmtId="0" fontId="46" fillId="0" borderId="38" xfId="1" applyFont="1" applyFill="1" applyBorder="1" applyAlignment="1">
      <alignment horizontal="left" vertical="center"/>
    </xf>
    <xf numFmtId="0" fontId="59" fillId="0" borderId="44" xfId="1" applyFont="1" applyFill="1" applyBorder="1" applyAlignment="1">
      <alignment horizontal="center" vertical="center"/>
    </xf>
    <xf numFmtId="0" fontId="59" fillId="0" borderId="369" xfId="1" applyFont="1" applyFill="1" applyBorder="1" applyAlignment="1">
      <alignment horizontal="center" vertical="center"/>
    </xf>
    <xf numFmtId="0" fontId="58" fillId="0" borderId="161" xfId="1" applyFont="1" applyFill="1" applyBorder="1" applyAlignment="1">
      <alignment vertical="center"/>
    </xf>
    <xf numFmtId="0" fontId="58" fillId="0" borderId="38" xfId="1" applyFont="1" applyFill="1" applyBorder="1" applyAlignment="1">
      <alignment horizontal="center" vertical="center"/>
    </xf>
    <xf numFmtId="0" fontId="69" fillId="0" borderId="161" xfId="1" applyFont="1" applyFill="1" applyBorder="1" applyAlignment="1">
      <alignment horizontal="left" vertical="center"/>
    </xf>
    <xf numFmtId="0" fontId="45" fillId="0" borderId="83" xfId="1" applyFont="1" applyFill="1" applyBorder="1" applyAlignment="1">
      <alignment horizontal="left" vertical="center"/>
    </xf>
    <xf numFmtId="0" fontId="58" fillId="0" borderId="161" xfId="1" applyFont="1" applyFill="1" applyBorder="1" applyAlignment="1">
      <alignment horizontal="center" vertical="center"/>
    </xf>
    <xf numFmtId="3" fontId="45" fillId="0" borderId="47" xfId="1" applyNumberFormat="1" applyFont="1" applyFill="1" applyBorder="1" applyAlignment="1">
      <alignment horizontal="left" vertical="center"/>
    </xf>
    <xf numFmtId="0" fontId="59" fillId="0" borderId="93" xfId="1" applyFont="1" applyFill="1" applyBorder="1" applyAlignment="1">
      <alignment horizontal="center" vertical="center"/>
    </xf>
    <xf numFmtId="0" fontId="69" fillId="0" borderId="337" xfId="1" applyFont="1" applyFill="1" applyBorder="1" applyAlignment="1">
      <alignment horizontal="left" vertical="center"/>
    </xf>
    <xf numFmtId="0" fontId="45" fillId="0" borderId="83" xfId="1" applyFont="1" applyFill="1" applyBorder="1" applyAlignment="1">
      <alignment vertical="center"/>
    </xf>
    <xf numFmtId="0" fontId="59" fillId="0" borderId="237" xfId="1" applyFont="1" applyFill="1" applyBorder="1" applyAlignment="1">
      <alignment horizontal="center" vertical="center"/>
    </xf>
    <xf numFmtId="0" fontId="45" fillId="3" borderId="38" xfId="1" applyFont="1" applyFill="1" applyBorder="1" applyAlignment="1">
      <alignment vertical="center"/>
    </xf>
    <xf numFmtId="0" fontId="59" fillId="0" borderId="196" xfId="1" applyFont="1" applyFill="1" applyBorder="1" applyAlignment="1">
      <alignment horizontal="center" vertical="center"/>
    </xf>
    <xf numFmtId="0" fontId="45" fillId="0" borderId="196" xfId="1" applyFont="1" applyFill="1" applyBorder="1" applyAlignment="1">
      <alignment vertical="center"/>
    </xf>
    <xf numFmtId="3" fontId="45" fillId="0" borderId="49" xfId="1" applyNumberFormat="1" applyFont="1" applyFill="1" applyBorder="1" applyAlignment="1">
      <alignment horizontal="left" vertical="center"/>
    </xf>
    <xf numFmtId="3" fontId="58" fillId="0" borderId="9" xfId="1" applyNumberFormat="1" applyFont="1" applyFill="1" applyBorder="1" applyAlignment="1">
      <alignment horizontal="left" vertical="center"/>
    </xf>
    <xf numFmtId="0" fontId="90" fillId="0" borderId="0" xfId="1" applyFont="1" applyFill="1" applyAlignment="1">
      <alignment vertical="center"/>
    </xf>
    <xf numFmtId="0" fontId="91" fillId="0" borderId="50" xfId="1" applyFont="1" applyFill="1" applyBorder="1" applyAlignment="1">
      <alignment vertical="center"/>
    </xf>
    <xf numFmtId="0" fontId="74" fillId="0" borderId="162" xfId="1" applyFont="1" applyFill="1" applyBorder="1" applyAlignment="1">
      <alignment horizontal="center" vertical="center"/>
    </xf>
    <xf numFmtId="3" fontId="53" fillId="0" borderId="381" xfId="1" applyNumberFormat="1" applyFont="1" applyFill="1" applyBorder="1" applyAlignment="1">
      <alignment horizontal="center" vertical="center"/>
    </xf>
    <xf numFmtId="0" fontId="63" fillId="0" borderId="0" xfId="1" applyFont="1"/>
    <xf numFmtId="0" fontId="93" fillId="0" borderId="0" xfId="1" applyFont="1" applyFill="1" applyBorder="1" applyAlignment="1">
      <alignment horizontal="center" vertical="center"/>
    </xf>
    <xf numFmtId="0" fontId="23" fillId="0" borderId="0" xfId="1" applyFont="1" applyFill="1" applyBorder="1" applyAlignment="1">
      <alignment horizontal="left" vertical="center"/>
    </xf>
    <xf numFmtId="169" fontId="17" fillId="0" borderId="174" xfId="1" applyNumberFormat="1" applyFont="1" applyFill="1" applyBorder="1" applyAlignment="1">
      <alignment horizontal="right" vertical="center"/>
    </xf>
    <xf numFmtId="169" fontId="17" fillId="0" borderId="46" xfId="1" applyNumberFormat="1" applyFont="1" applyFill="1" applyBorder="1" applyAlignment="1">
      <alignment horizontal="right" vertical="center"/>
    </xf>
    <xf numFmtId="169" fontId="38" fillId="0" borderId="46" xfId="1" applyNumberFormat="1" applyFont="1" applyFill="1" applyBorder="1" applyAlignment="1">
      <alignment horizontal="right" vertical="center"/>
    </xf>
    <xf numFmtId="169" fontId="38" fillId="0" borderId="174" xfId="1" applyNumberFormat="1" applyFont="1" applyFill="1" applyBorder="1" applyAlignment="1">
      <alignment horizontal="right" vertical="center"/>
    </xf>
    <xf numFmtId="169" fontId="38" fillId="0" borderId="42" xfId="1" applyNumberFormat="1" applyFont="1" applyFill="1" applyBorder="1" applyAlignment="1">
      <alignment horizontal="right" vertical="center"/>
    </xf>
    <xf numFmtId="169" fontId="94" fillId="0" borderId="46" xfId="1" applyNumberFormat="1" applyFont="1" applyFill="1" applyBorder="1" applyAlignment="1">
      <alignment horizontal="right" vertical="center"/>
    </xf>
    <xf numFmtId="169" fontId="17" fillId="0" borderId="357" xfId="1" applyNumberFormat="1" applyFont="1" applyFill="1" applyBorder="1" applyAlignment="1">
      <alignment horizontal="right" vertical="center"/>
    </xf>
    <xf numFmtId="169" fontId="26" fillId="0" borderId="46" xfId="1" applyNumberFormat="1" applyFont="1" applyFill="1" applyBorder="1" applyAlignment="1">
      <alignment horizontal="right" vertical="center"/>
    </xf>
    <xf numFmtId="0" fontId="29" fillId="0" borderId="0" xfId="1" applyFont="1" applyFill="1" applyBorder="1" applyAlignment="1">
      <alignment horizontal="left" vertical="center"/>
    </xf>
    <xf numFmtId="0" fontId="95" fillId="0" borderId="0" xfId="1" applyFont="1" applyFill="1" applyBorder="1" applyAlignment="1">
      <alignment horizontal="left" vertical="center"/>
    </xf>
    <xf numFmtId="169" fontId="17" fillId="3" borderId="174" xfId="1" applyNumberFormat="1" applyFont="1" applyFill="1" applyBorder="1" applyAlignment="1">
      <alignment horizontal="right" vertical="center"/>
    </xf>
    <xf numFmtId="169" fontId="17" fillId="0" borderId="381" xfId="1" applyNumberFormat="1" applyFont="1" applyFill="1" applyBorder="1" applyAlignment="1">
      <alignment horizontal="right" vertical="center"/>
    </xf>
    <xf numFmtId="169" fontId="38" fillId="0" borderId="0" xfId="1" applyNumberFormat="1" applyFont="1" applyFill="1" applyBorder="1" applyAlignment="1">
      <alignment horizontal="right" vertical="center"/>
    </xf>
    <xf numFmtId="169" fontId="17" fillId="3" borderId="46" xfId="1" applyNumberFormat="1" applyFont="1" applyFill="1" applyBorder="1" applyAlignment="1">
      <alignment horizontal="right" vertical="center"/>
    </xf>
    <xf numFmtId="169" fontId="17" fillId="0" borderId="42" xfId="1" applyNumberFormat="1" applyFont="1" applyFill="1" applyBorder="1" applyAlignment="1">
      <alignment horizontal="right" vertical="center"/>
    </xf>
    <xf numFmtId="169" fontId="96" fillId="0" borderId="46" xfId="1" applyNumberFormat="1" applyFont="1" applyFill="1" applyBorder="1" applyAlignment="1">
      <alignment horizontal="right" vertical="center"/>
    </xf>
    <xf numFmtId="0" fontId="38" fillId="0" borderId="0" xfId="1" applyFont="1" applyFill="1" applyBorder="1" applyAlignment="1">
      <alignment horizontal="left" vertical="center"/>
    </xf>
    <xf numFmtId="169" fontId="38" fillId="3" borderId="45" xfId="1" applyNumberFormat="1" applyFont="1" applyFill="1" applyBorder="1" applyAlignment="1">
      <alignment horizontal="right" vertical="center"/>
    </xf>
    <xf numFmtId="169" fontId="17" fillId="0" borderId="91" xfId="1" applyNumberFormat="1" applyFont="1" applyFill="1" applyBorder="1" applyAlignment="1">
      <alignment horizontal="right" vertical="center"/>
    </xf>
    <xf numFmtId="169" fontId="38" fillId="0" borderId="381" xfId="1" applyNumberFormat="1" applyFont="1" applyFill="1" applyBorder="1" applyAlignment="1">
      <alignment horizontal="right" vertical="center"/>
    </xf>
    <xf numFmtId="169" fontId="17" fillId="0" borderId="0" xfId="1" applyNumberFormat="1" applyFont="1" applyFill="1" applyBorder="1" applyAlignment="1">
      <alignment horizontal="right" vertical="center"/>
    </xf>
    <xf numFmtId="169" fontId="17" fillId="3" borderId="43" xfId="1" applyNumberFormat="1" applyFont="1" applyFill="1" applyBorder="1" applyAlignment="1">
      <alignment horizontal="right" vertical="center"/>
    </xf>
    <xf numFmtId="169" fontId="38" fillId="0" borderId="26" xfId="1" applyNumberFormat="1" applyFont="1" applyFill="1" applyBorder="1" applyAlignment="1">
      <alignment horizontal="right" vertical="center"/>
    </xf>
    <xf numFmtId="169" fontId="17" fillId="0" borderId="26" xfId="1" applyNumberFormat="1" applyFont="1" applyFill="1" applyBorder="1" applyAlignment="1">
      <alignment horizontal="right" vertical="center"/>
    </xf>
    <xf numFmtId="169" fontId="17" fillId="0" borderId="114" xfId="1" applyNumberFormat="1" applyFont="1" applyFill="1" applyBorder="1" applyAlignment="1">
      <alignment horizontal="right" vertical="center"/>
    </xf>
    <xf numFmtId="169" fontId="17" fillId="0" borderId="296" xfId="1" applyNumberFormat="1" applyFont="1" applyFill="1" applyBorder="1" applyAlignment="1">
      <alignment horizontal="right" vertical="center"/>
    </xf>
    <xf numFmtId="169" fontId="17" fillId="0" borderId="171" xfId="1" applyNumberFormat="1" applyFont="1" applyFill="1" applyBorder="1" applyAlignment="1">
      <alignment horizontal="right" vertical="center"/>
    </xf>
    <xf numFmtId="169" fontId="38" fillId="0" borderId="296" xfId="1" applyNumberFormat="1" applyFont="1" applyFill="1" applyBorder="1" applyAlignment="1">
      <alignment horizontal="right" vertical="center"/>
    </xf>
    <xf numFmtId="169" fontId="26" fillId="0" borderId="0" xfId="1" applyNumberFormat="1" applyFont="1" applyFill="1" applyBorder="1" applyAlignment="1">
      <alignment horizontal="right" vertical="center"/>
    </xf>
    <xf numFmtId="3" fontId="35" fillId="0" borderId="6" xfId="1" applyNumberFormat="1" applyFont="1" applyFill="1" applyBorder="1" applyAlignment="1">
      <alignment horizontal="left" vertical="center"/>
    </xf>
    <xf numFmtId="3" fontId="35" fillId="0" borderId="43" xfId="1" applyNumberFormat="1" applyFont="1" applyFill="1" applyBorder="1" applyAlignment="1">
      <alignment horizontal="left" vertical="center"/>
    </xf>
    <xf numFmtId="169" fontId="17" fillId="0" borderId="200" xfId="1" applyNumberFormat="1" applyFont="1" applyFill="1" applyBorder="1" applyAlignment="1">
      <alignment horizontal="right" vertical="center"/>
    </xf>
    <xf numFmtId="169" fontId="17" fillId="0" borderId="194" xfId="1" applyNumberFormat="1" applyFont="1" applyFill="1" applyBorder="1" applyAlignment="1">
      <alignment horizontal="right" vertical="center"/>
    </xf>
    <xf numFmtId="169" fontId="17" fillId="0" borderId="89" xfId="1" applyNumberFormat="1" applyFont="1" applyFill="1" applyBorder="1" applyAlignment="1">
      <alignment horizontal="right" vertical="center"/>
    </xf>
    <xf numFmtId="169" fontId="17" fillId="0" borderId="193" xfId="1" applyNumberFormat="1" applyFont="1" applyFill="1" applyBorder="1" applyAlignment="1">
      <alignment horizontal="right" vertical="center"/>
    </xf>
    <xf numFmtId="169" fontId="17" fillId="0" borderId="6" xfId="1" applyNumberFormat="1" applyFont="1" applyFill="1" applyBorder="1" applyAlignment="1">
      <alignment horizontal="right" vertical="center"/>
    </xf>
    <xf numFmtId="169" fontId="17" fillId="0" borderId="83" xfId="1" applyNumberFormat="1" applyFont="1" applyFill="1" applyBorder="1" applyAlignment="1">
      <alignment horizontal="right" vertical="center"/>
    </xf>
    <xf numFmtId="169" fontId="17" fillId="0" borderId="18" xfId="1" applyNumberFormat="1" applyFont="1" applyFill="1" applyBorder="1" applyAlignment="1">
      <alignment horizontal="right" vertical="center"/>
    </xf>
    <xf numFmtId="169" fontId="17" fillId="0" borderId="84" xfId="1" applyNumberFormat="1" applyFont="1" applyFill="1" applyBorder="1" applyAlignment="1">
      <alignment horizontal="right" vertical="center"/>
    </xf>
    <xf numFmtId="169" fontId="35" fillId="0" borderId="6" xfId="1" applyNumberFormat="1" applyFont="1" applyFill="1" applyBorder="1" applyAlignment="1">
      <alignment horizontal="center" vertical="center"/>
    </xf>
    <xf numFmtId="169" fontId="17" fillId="0" borderId="46" xfId="1" applyNumberFormat="1" applyFont="1" applyFill="1" applyBorder="1" applyAlignment="1">
      <alignment vertical="center"/>
    </xf>
    <xf numFmtId="169" fontId="17" fillId="0" borderId="174" xfId="1" applyNumberFormat="1" applyFont="1" applyFill="1" applyBorder="1" applyAlignment="1">
      <alignment vertical="center"/>
    </xf>
    <xf numFmtId="169" fontId="17" fillId="0" borderId="381" xfId="1" applyNumberFormat="1" applyFont="1" applyFill="1" applyBorder="1" applyAlignment="1">
      <alignment vertical="center"/>
    </xf>
    <xf numFmtId="3" fontId="97" fillId="0" borderId="0" xfId="1" applyNumberFormat="1" applyFont="1" applyFill="1" applyBorder="1" applyAlignment="1">
      <alignment horizontal="left" vertical="center"/>
    </xf>
    <xf numFmtId="169" fontId="17" fillId="3" borderId="42" xfId="1" applyNumberFormat="1" applyFont="1" applyFill="1" applyBorder="1" applyAlignment="1">
      <alignment horizontal="right" vertical="center"/>
    </xf>
    <xf numFmtId="169" fontId="17" fillId="0" borderId="86" xfId="1" applyNumberFormat="1" applyFont="1" applyFill="1" applyBorder="1" applyAlignment="1">
      <alignment horizontal="right" vertical="center"/>
    </xf>
    <xf numFmtId="169" fontId="17" fillId="0" borderId="188" xfId="1" applyNumberFormat="1" applyFont="1" applyFill="1" applyBorder="1" applyAlignment="1">
      <alignment horizontal="right" vertical="center"/>
    </xf>
    <xf numFmtId="169" fontId="17" fillId="0" borderId="41" xfId="1" applyNumberFormat="1" applyFont="1" applyFill="1" applyBorder="1" applyAlignment="1">
      <alignment horizontal="right" vertical="center"/>
    </xf>
    <xf numFmtId="169" fontId="17" fillId="0" borderId="364" xfId="1" applyNumberFormat="1" applyFont="1" applyFill="1" applyBorder="1" applyAlignment="1">
      <alignment horizontal="right" vertical="center"/>
    </xf>
    <xf numFmtId="169" fontId="17" fillId="0" borderId="191" xfId="1" applyNumberFormat="1" applyFont="1" applyFill="1" applyBorder="1" applyAlignment="1">
      <alignment horizontal="right" vertical="center"/>
    </xf>
    <xf numFmtId="3" fontId="35" fillId="0" borderId="6" xfId="1" applyNumberFormat="1" applyFont="1" applyFill="1" applyBorder="1" applyAlignment="1">
      <alignment horizontal="center" vertical="center" wrapText="1"/>
    </xf>
    <xf numFmtId="169" fontId="17" fillId="0" borderId="88" xfId="1" applyNumberFormat="1" applyFont="1" applyFill="1" applyBorder="1" applyAlignment="1">
      <alignment horizontal="right" vertical="center"/>
    </xf>
    <xf numFmtId="169" fontId="17" fillId="0" borderId="374" xfId="1" applyNumberFormat="1" applyFont="1" applyFill="1" applyBorder="1" applyAlignment="1">
      <alignment horizontal="right" vertical="center"/>
    </xf>
    <xf numFmtId="169" fontId="17" fillId="0" borderId="333" xfId="1" applyNumberFormat="1" applyFont="1" applyFill="1" applyBorder="1" applyAlignment="1">
      <alignment horizontal="right" vertical="center"/>
    </xf>
    <xf numFmtId="0" fontId="98" fillId="0" borderId="0" xfId="1" applyFont="1" applyFill="1" applyBorder="1" applyAlignment="1">
      <alignment horizontal="left" vertical="center"/>
    </xf>
    <xf numFmtId="0" fontId="98" fillId="0" borderId="50" xfId="1" applyFont="1" applyFill="1" applyBorder="1" applyAlignment="1">
      <alignment horizontal="left" vertical="center"/>
    </xf>
    <xf numFmtId="169" fontId="38" fillId="0" borderId="357" xfId="1" applyNumberFormat="1" applyFont="1" applyFill="1" applyBorder="1" applyAlignment="1">
      <alignment horizontal="right" vertical="center"/>
    </xf>
    <xf numFmtId="169" fontId="55" fillId="0" borderId="46" xfId="1" applyNumberFormat="1" applyFont="1" applyFill="1" applyBorder="1" applyAlignment="1">
      <alignment horizontal="right" vertical="center"/>
    </xf>
    <xf numFmtId="3" fontId="29" fillId="0" borderId="0" xfId="1" applyNumberFormat="1" applyFont="1" applyFill="1" applyBorder="1" applyAlignment="1">
      <alignment horizontal="left" vertical="center"/>
    </xf>
    <xf numFmtId="0" fontId="99" fillId="0" borderId="0" xfId="1" applyFont="1" applyFill="1" applyBorder="1" applyAlignment="1">
      <alignment horizontal="left" vertical="center"/>
    </xf>
    <xf numFmtId="169" fontId="17" fillId="3" borderId="97" xfId="1" applyNumberFormat="1" applyFont="1" applyFill="1" applyBorder="1" applyAlignment="1">
      <alignment vertical="center"/>
    </xf>
    <xf numFmtId="169" fontId="17" fillId="0" borderId="357" xfId="1" applyNumberFormat="1" applyFont="1" applyFill="1" applyBorder="1" applyAlignment="1">
      <alignment vertical="center"/>
    </xf>
    <xf numFmtId="169" fontId="17" fillId="0" borderId="0" xfId="1" applyNumberFormat="1" applyFont="1" applyFill="1" applyBorder="1" applyAlignment="1">
      <alignment vertical="center"/>
    </xf>
    <xf numFmtId="0" fontId="98" fillId="0" borderId="219" xfId="1" applyFont="1" applyFill="1" applyBorder="1" applyAlignment="1">
      <alignment horizontal="left" vertical="center"/>
    </xf>
    <xf numFmtId="0" fontId="38" fillId="0" borderId="8" xfId="1" applyFont="1" applyFill="1" applyBorder="1" applyAlignment="1">
      <alignment horizontal="left" vertical="center"/>
    </xf>
    <xf numFmtId="3" fontId="35" fillId="0" borderId="0" xfId="1" applyNumberFormat="1" applyFont="1" applyFill="1" applyBorder="1" applyAlignment="1">
      <alignment horizontal="left" vertical="center"/>
    </xf>
    <xf numFmtId="0" fontId="17" fillId="0" borderId="8" xfId="1" applyFont="1" applyFill="1" applyBorder="1" applyAlignment="1">
      <alignment vertical="center"/>
    </xf>
    <xf numFmtId="169" fontId="17" fillId="3" borderId="46" xfId="1" applyNumberFormat="1" applyFont="1" applyFill="1" applyBorder="1" applyAlignment="1">
      <alignment vertical="center"/>
    </xf>
    <xf numFmtId="169" fontId="17" fillId="0" borderId="170" xfId="1" applyNumberFormat="1" applyFont="1" applyFill="1" applyBorder="1" applyAlignment="1">
      <alignment horizontal="right" vertical="center"/>
    </xf>
    <xf numFmtId="169" fontId="17" fillId="0" borderId="96" xfId="1" applyNumberFormat="1" applyFont="1" applyFill="1" applyBorder="1" applyAlignment="1">
      <alignment horizontal="right" vertical="center"/>
    </xf>
    <xf numFmtId="169" fontId="17" fillId="0" borderId="87" xfId="1" applyNumberFormat="1" applyFont="1" applyFill="1" applyBorder="1" applyAlignment="1">
      <alignment horizontal="right" vertical="center"/>
    </xf>
    <xf numFmtId="169" fontId="41" fillId="0" borderId="46" xfId="1" applyNumberFormat="1" applyFont="1" applyFill="1" applyBorder="1" applyAlignment="1">
      <alignment horizontal="right" vertical="center"/>
    </xf>
    <xf numFmtId="169" fontId="17" fillId="0" borderId="46" xfId="1" applyNumberFormat="1" applyFont="1" applyFill="1" applyBorder="1" applyAlignment="1">
      <alignment horizontal="left" vertical="center"/>
    </xf>
    <xf numFmtId="169" fontId="17" fillId="0" borderId="0" xfId="1" applyNumberFormat="1" applyFont="1" applyFill="1" applyBorder="1" applyAlignment="1">
      <alignment horizontal="center" vertical="center"/>
    </xf>
    <xf numFmtId="169" fontId="17" fillId="0" borderId="382" xfId="1" applyNumberFormat="1" applyFont="1" applyFill="1" applyBorder="1" applyAlignment="1">
      <alignment horizontal="right" vertical="center"/>
    </xf>
    <xf numFmtId="169" fontId="17" fillId="0" borderId="117" xfId="1" applyNumberFormat="1" applyFont="1" applyFill="1" applyBorder="1" applyAlignment="1">
      <alignment horizontal="right" vertical="center"/>
    </xf>
    <xf numFmtId="169" fontId="17" fillId="0" borderId="289" xfId="1" applyNumberFormat="1" applyFont="1" applyFill="1" applyBorder="1" applyAlignment="1">
      <alignment horizontal="right" vertical="center"/>
    </xf>
    <xf numFmtId="169" fontId="17" fillId="3" borderId="6" xfId="1" applyNumberFormat="1" applyFont="1" applyFill="1" applyBorder="1" applyAlignment="1">
      <alignment horizontal="right" vertical="center"/>
    </xf>
    <xf numFmtId="169" fontId="17" fillId="0" borderId="190" xfId="1" applyNumberFormat="1" applyFont="1" applyFill="1" applyBorder="1" applyAlignment="1">
      <alignment horizontal="right" vertical="center"/>
    </xf>
    <xf numFmtId="169" fontId="17" fillId="0" borderId="187" xfId="1" applyNumberFormat="1" applyFont="1" applyFill="1" applyBorder="1" applyAlignment="1">
      <alignment horizontal="right" vertical="center"/>
    </xf>
    <xf numFmtId="169" fontId="17" fillId="0" borderId="56" xfId="1" applyNumberFormat="1" applyFont="1" applyFill="1" applyBorder="1" applyAlignment="1">
      <alignment horizontal="right" vertical="center"/>
    </xf>
    <xf numFmtId="169" fontId="17" fillId="0" borderId="293" xfId="1" applyNumberFormat="1" applyFont="1" applyFill="1" applyBorder="1" applyAlignment="1">
      <alignment horizontal="right" vertical="center"/>
    </xf>
    <xf numFmtId="169" fontId="17" fillId="0" borderId="97" xfId="1" applyNumberFormat="1" applyFont="1" applyFill="1" applyBorder="1" applyAlignment="1">
      <alignment vertical="center"/>
    </xf>
    <xf numFmtId="169" fontId="17" fillId="0" borderId="322" xfId="1" applyNumberFormat="1" applyFont="1" applyFill="1" applyBorder="1" applyAlignment="1">
      <alignment horizontal="right" vertical="center"/>
    </xf>
    <xf numFmtId="169" fontId="17" fillId="0" borderId="384" xfId="1" applyNumberFormat="1" applyFont="1" applyFill="1" applyBorder="1" applyAlignment="1">
      <alignment horizontal="right" vertical="center"/>
    </xf>
    <xf numFmtId="169" fontId="17" fillId="0" borderId="107" xfId="1" applyNumberFormat="1" applyFont="1" applyFill="1" applyBorder="1" applyAlignment="1">
      <alignment horizontal="right" vertical="center"/>
    </xf>
    <xf numFmtId="169" fontId="17" fillId="3" borderId="97" xfId="1" applyNumberFormat="1" applyFont="1" applyFill="1" applyBorder="1" applyAlignment="1">
      <alignment horizontal="right" vertical="center"/>
    </xf>
    <xf numFmtId="169" fontId="17" fillId="0" borderId="108" xfId="1" applyNumberFormat="1" applyFont="1" applyFill="1" applyBorder="1" applyAlignment="1">
      <alignment horizontal="right" vertical="center"/>
    </xf>
    <xf numFmtId="0" fontId="101" fillId="0" borderId="0" xfId="1" applyFont="1" applyFill="1" applyBorder="1" applyAlignment="1">
      <alignment horizontal="center" vertical="center"/>
    </xf>
    <xf numFmtId="169" fontId="102" fillId="0" borderId="0" xfId="1" applyNumberFormat="1" applyFont="1" applyFill="1" applyBorder="1" applyAlignment="1">
      <alignment horizontal="right" vertical="center"/>
    </xf>
    <xf numFmtId="3" fontId="101" fillId="0" borderId="0" xfId="1" applyNumberFormat="1" applyFont="1" applyFill="1" applyBorder="1" applyAlignment="1">
      <alignment horizontal="center" vertical="center"/>
    </xf>
    <xf numFmtId="0" fontId="100" fillId="0" borderId="0" xfId="15" applyFont="1" applyFill="1" applyBorder="1" applyAlignment="1">
      <alignment horizontal="left" vertical="center"/>
    </xf>
    <xf numFmtId="0" fontId="58" fillId="0" borderId="0" xfId="1" applyFont="1" applyFill="1" applyBorder="1" applyAlignment="1">
      <alignment horizontal="center" vertical="center"/>
    </xf>
    <xf numFmtId="169" fontId="41" fillId="0" borderId="0" xfId="1" applyNumberFormat="1" applyFont="1" applyFill="1" applyBorder="1" applyAlignment="1">
      <alignment horizontal="right" vertical="center"/>
    </xf>
    <xf numFmtId="167" fontId="74" fillId="0" borderId="162" xfId="1" applyNumberFormat="1" applyFont="1" applyFill="1" applyBorder="1" applyAlignment="1">
      <alignment horizontal="center" vertical="center"/>
    </xf>
    <xf numFmtId="0" fontId="53" fillId="0" borderId="113" xfId="1" applyFont="1" applyFill="1" applyBorder="1" applyAlignment="1">
      <alignment horizontal="center" vertical="center"/>
    </xf>
    <xf numFmtId="0" fontId="74" fillId="0" borderId="111" xfId="1" applyFont="1" applyFill="1" applyBorder="1" applyAlignment="1">
      <alignment horizontal="center" vertical="center"/>
    </xf>
    <xf numFmtId="0" fontId="74" fillId="0" borderId="111" xfId="1" applyFont="1" applyFill="1" applyBorder="1" applyAlignment="1">
      <alignment horizontal="center" vertical="center" wrapText="1"/>
    </xf>
    <xf numFmtId="3" fontId="74" fillId="0" borderId="111" xfId="1" applyNumberFormat="1" applyFont="1" applyFill="1" applyBorder="1" applyAlignment="1">
      <alignment horizontal="center" vertical="center" wrapText="1"/>
    </xf>
    <xf numFmtId="0" fontId="74" fillId="0" borderId="108" xfId="1" applyFont="1" applyFill="1" applyBorder="1" applyAlignment="1">
      <alignment horizontal="right" vertical="center"/>
    </xf>
    <xf numFmtId="0" fontId="74" fillId="0" borderId="96" xfId="1" applyFont="1" applyFill="1" applyBorder="1" applyAlignment="1">
      <alignment horizontal="center" vertical="center"/>
    </xf>
    <xf numFmtId="0" fontId="63" fillId="0" borderId="114" xfId="1" applyFont="1" applyFill="1" applyBorder="1" applyAlignment="1">
      <alignment horizontal="center" vertical="center"/>
    </xf>
    <xf numFmtId="0" fontId="63" fillId="19" borderId="114" xfId="1" applyFont="1" applyFill="1" applyBorder="1" applyAlignment="1">
      <alignment horizontal="center" vertical="center"/>
    </xf>
    <xf numFmtId="0" fontId="105" fillId="0" borderId="64" xfId="1" applyFont="1" applyBorder="1" applyAlignment="1">
      <alignment horizontal="center" vertical="center" wrapText="1"/>
    </xf>
    <xf numFmtId="0" fontId="63" fillId="0" borderId="64" xfId="1" applyFont="1" applyFill="1" applyBorder="1" applyAlignment="1">
      <alignment horizontal="center" vertical="center" wrapText="1"/>
    </xf>
    <xf numFmtId="3" fontId="63" fillId="0" borderId="64" xfId="1" applyNumberFormat="1" applyFont="1" applyFill="1" applyBorder="1" applyAlignment="1">
      <alignment horizontal="center" vertical="center" wrapText="1"/>
    </xf>
    <xf numFmtId="0" fontId="53" fillId="0" borderId="116" xfId="1" applyFont="1" applyFill="1" applyBorder="1" applyAlignment="1">
      <alignment horizontal="left" vertical="center"/>
    </xf>
    <xf numFmtId="0" fontId="74" fillId="0" borderId="105" xfId="1" applyFont="1" applyFill="1" applyBorder="1" applyAlignment="1">
      <alignment horizontal="center" vertical="center"/>
    </xf>
    <xf numFmtId="0" fontId="53" fillId="0" borderId="108" xfId="1" applyFont="1" applyFill="1" applyBorder="1" applyAlignment="1">
      <alignment horizontal="left" vertical="center"/>
    </xf>
    <xf numFmtId="0" fontId="74" fillId="0" borderId="51" xfId="1" applyFont="1" applyFill="1" applyBorder="1" applyAlignment="1">
      <alignment horizontal="center" vertical="center"/>
    </xf>
    <xf numFmtId="170" fontId="74" fillId="0" borderId="114" xfId="1" applyNumberFormat="1" applyFont="1" applyFill="1" applyBorder="1" applyAlignment="1">
      <alignment horizontal="center" vertical="center"/>
    </xf>
    <xf numFmtId="0" fontId="53" fillId="0" borderId="52" xfId="1" applyFont="1" applyFill="1" applyBorder="1" applyAlignment="1">
      <alignment horizontal="center" vertical="center"/>
    </xf>
    <xf numFmtId="0" fontId="53" fillId="0" borderId="8" xfId="1" applyFont="1" applyFill="1" applyBorder="1" applyAlignment="1">
      <alignment horizontal="center" vertical="center"/>
    </xf>
    <xf numFmtId="3" fontId="74" fillId="0" borderId="117" xfId="1" applyNumberFormat="1" applyFont="1" applyFill="1" applyBorder="1" applyAlignment="1">
      <alignment horizontal="center" vertical="center"/>
    </xf>
    <xf numFmtId="3" fontId="74" fillId="0" borderId="55" xfId="1" applyNumberFormat="1" applyFont="1" applyFill="1" applyBorder="1" applyAlignment="1">
      <alignment horizontal="center" vertical="center"/>
    </xf>
    <xf numFmtId="166" fontId="53" fillId="0" borderId="325" xfId="1" applyNumberFormat="1" applyFont="1" applyFill="1" applyBorder="1" applyAlignment="1">
      <alignment horizontal="center" vertical="center"/>
    </xf>
    <xf numFmtId="3" fontId="63" fillId="0" borderId="325" xfId="1" applyNumberFormat="1" applyFont="1" applyFill="1" applyBorder="1" applyAlignment="1">
      <alignment horizontal="center" vertical="center"/>
    </xf>
    <xf numFmtId="166" fontId="53" fillId="0" borderId="64" xfId="1" applyNumberFormat="1" applyFont="1" applyFill="1" applyBorder="1" applyAlignment="1">
      <alignment horizontal="center" vertical="center"/>
    </xf>
    <xf numFmtId="3" fontId="63" fillId="0" borderId="64" xfId="1" applyNumberFormat="1" applyFont="1" applyFill="1" applyBorder="1" applyAlignment="1">
      <alignment horizontal="center" vertical="center"/>
    </xf>
    <xf numFmtId="3" fontId="74" fillId="15" borderId="64" xfId="1" applyNumberFormat="1" applyFont="1" applyFill="1" applyBorder="1" applyAlignment="1">
      <alignment horizontal="center" vertical="center"/>
    </xf>
    <xf numFmtId="3" fontId="74" fillId="6" borderId="64" xfId="1" applyNumberFormat="1" applyFont="1" applyFill="1" applyBorder="1" applyAlignment="1">
      <alignment horizontal="center" vertical="center"/>
    </xf>
    <xf numFmtId="3" fontId="74" fillId="7" borderId="64" xfId="1" applyNumberFormat="1" applyFont="1" applyFill="1" applyBorder="1" applyAlignment="1">
      <alignment horizontal="center" vertical="center"/>
    </xf>
    <xf numFmtId="166" fontId="33" fillId="0" borderId="325" xfId="1" applyNumberFormat="1" applyFont="1" applyFill="1" applyBorder="1" applyAlignment="1">
      <alignment horizontal="center" vertical="center"/>
    </xf>
    <xf numFmtId="3" fontId="17" fillId="0" borderId="325" xfId="1" applyNumberFormat="1" applyFont="1" applyFill="1" applyBorder="1" applyAlignment="1">
      <alignment horizontal="center" vertical="center"/>
    </xf>
    <xf numFmtId="3" fontId="17" fillId="0" borderId="64" xfId="1" applyNumberFormat="1" applyFont="1" applyFill="1" applyBorder="1" applyAlignment="1">
      <alignment horizontal="center" vertical="center"/>
    </xf>
    <xf numFmtId="3" fontId="21" fillId="0" borderId="0" xfId="15" applyNumberFormat="1" applyFont="1" applyFill="1" applyAlignment="1">
      <alignment horizontal="center"/>
    </xf>
    <xf numFmtId="166" fontId="33" fillId="0" borderId="259" xfId="1" applyNumberFormat="1" applyFont="1" applyFill="1" applyBorder="1" applyAlignment="1">
      <alignment horizontal="center" vertical="center"/>
    </xf>
    <xf numFmtId="167" fontId="35" fillId="0" borderId="64" xfId="1" applyNumberFormat="1" applyFont="1" applyFill="1" applyBorder="1" applyAlignment="1">
      <alignment horizontal="center" vertical="center"/>
    </xf>
    <xf numFmtId="167" fontId="12" fillId="0" borderId="64" xfId="1" applyNumberFormat="1" applyFont="1" applyFill="1" applyBorder="1" applyAlignment="1">
      <alignment horizontal="center" vertical="center"/>
    </xf>
    <xf numFmtId="168" fontId="35" fillId="0" borderId="64" xfId="1" applyNumberFormat="1" applyFont="1" applyFill="1" applyBorder="1" applyAlignment="1">
      <alignment horizontal="center" vertical="center"/>
    </xf>
    <xf numFmtId="3" fontId="35" fillId="0" borderId="57" xfId="1" applyNumberFormat="1" applyFont="1" applyFill="1" applyBorder="1" applyAlignment="1">
      <alignment horizontal="center" vertical="center"/>
    </xf>
    <xf numFmtId="0" fontId="17" fillId="0" borderId="25" xfId="1" applyFont="1" applyFill="1" applyBorder="1"/>
    <xf numFmtId="3" fontId="33" fillId="0" borderId="64" xfId="1" applyNumberFormat="1" applyFont="1" applyFill="1" applyBorder="1" applyAlignment="1">
      <alignment horizontal="center" vertical="center"/>
    </xf>
    <xf numFmtId="3" fontId="13" fillId="0" borderId="64" xfId="1" applyNumberFormat="1" applyFont="1" applyFill="1" applyBorder="1" applyAlignment="1">
      <alignment horizontal="center" vertical="center"/>
    </xf>
    <xf numFmtId="0" fontId="43" fillId="3" borderId="17" xfId="1" applyFont="1" applyFill="1" applyBorder="1" applyAlignment="1">
      <alignment horizontal="center" vertical="center"/>
    </xf>
    <xf numFmtId="3" fontId="17" fillId="3" borderId="259" xfId="1" applyNumberFormat="1" applyFont="1" applyFill="1" applyBorder="1" applyAlignment="1">
      <alignment horizontal="center" vertical="center"/>
    </xf>
    <xf numFmtId="3" fontId="17" fillId="0" borderId="259" xfId="1" applyNumberFormat="1" applyFont="1" applyFill="1" applyBorder="1" applyAlignment="1">
      <alignment horizontal="center" vertical="center"/>
    </xf>
    <xf numFmtId="3" fontId="38" fillId="3" borderId="64" xfId="1" applyNumberFormat="1" applyFont="1" applyFill="1" applyBorder="1" applyAlignment="1">
      <alignment horizontal="left" vertical="center"/>
    </xf>
    <xf numFmtId="172" fontId="33" fillId="3" borderId="24" xfId="1" applyNumberFormat="1" applyFont="1" applyFill="1" applyBorder="1" applyAlignment="1">
      <alignment horizontal="center" vertical="center"/>
    </xf>
    <xf numFmtId="14" fontId="38" fillId="3" borderId="24" xfId="1" applyNumberFormat="1" applyFont="1" applyFill="1" applyBorder="1" applyAlignment="1">
      <alignment horizontal="center" vertical="center"/>
    </xf>
    <xf numFmtId="2" fontId="38" fillId="3" borderId="100" xfId="1" applyNumberFormat="1" applyFont="1" applyFill="1" applyBorder="1" applyAlignment="1">
      <alignment horizontal="center" vertical="center"/>
    </xf>
    <xf numFmtId="0" fontId="43" fillId="4" borderId="17" xfId="1" applyFont="1" applyFill="1" applyBorder="1" applyAlignment="1">
      <alignment horizontal="center" vertical="center"/>
    </xf>
    <xf numFmtId="3" fontId="17" fillId="0" borderId="299" xfId="1" applyNumberFormat="1" applyFont="1" applyFill="1" applyBorder="1" applyAlignment="1">
      <alignment horizontal="center" vertical="center"/>
    </xf>
    <xf numFmtId="3" fontId="17" fillId="0" borderId="261" xfId="1" applyNumberFormat="1" applyFont="1" applyFill="1" applyBorder="1" applyAlignment="1">
      <alignment horizontal="center" vertical="center"/>
    </xf>
    <xf numFmtId="2" fontId="38" fillId="4" borderId="268" xfId="1" applyNumberFormat="1" applyFont="1" applyFill="1" applyBorder="1" applyAlignment="1">
      <alignment horizontal="center" vertical="center"/>
    </xf>
    <xf numFmtId="3" fontId="38" fillId="0" borderId="18" xfId="1" applyNumberFormat="1" applyFont="1" applyFill="1" applyBorder="1" applyAlignment="1">
      <alignment horizontal="center" vertical="center"/>
    </xf>
    <xf numFmtId="3" fontId="17" fillId="0" borderId="260" xfId="1" applyNumberFormat="1" applyFont="1" applyFill="1" applyBorder="1" applyAlignment="1">
      <alignment horizontal="center" vertical="center"/>
    </xf>
    <xf numFmtId="2" fontId="38" fillId="4" borderId="270" xfId="1" applyNumberFormat="1" applyFont="1" applyFill="1" applyBorder="1" applyAlignment="1">
      <alignment horizontal="center" vertical="center"/>
    </xf>
    <xf numFmtId="3" fontId="17" fillId="4" borderId="242" xfId="1" applyNumberFormat="1" applyFont="1" applyFill="1" applyBorder="1" applyAlignment="1">
      <alignment horizontal="center" vertical="center"/>
    </xf>
    <xf numFmtId="3" fontId="17" fillId="4" borderId="243" xfId="1" applyNumberFormat="1" applyFont="1" applyFill="1" applyBorder="1" applyAlignment="1">
      <alignment horizontal="center" vertical="center"/>
    </xf>
    <xf numFmtId="3" fontId="38" fillId="0" borderId="99" xfId="1" applyNumberFormat="1" applyFont="1" applyFill="1" applyBorder="1" applyAlignment="1">
      <alignment horizontal="center" vertical="center"/>
    </xf>
    <xf numFmtId="3" fontId="38" fillId="0" borderId="64" xfId="1" applyNumberFormat="1" applyFont="1" applyFill="1" applyBorder="1" applyAlignment="1">
      <alignment horizontal="center" vertical="center"/>
    </xf>
    <xf numFmtId="3" fontId="38" fillId="4" borderId="64" xfId="1" applyNumberFormat="1" applyFont="1" applyFill="1" applyBorder="1" applyAlignment="1">
      <alignment horizontal="left" vertical="center"/>
    </xf>
    <xf numFmtId="3" fontId="38" fillId="4" borderId="317" xfId="1" applyNumberFormat="1" applyFont="1" applyFill="1" applyBorder="1" applyAlignment="1">
      <alignment horizontal="center" vertical="center"/>
    </xf>
    <xf numFmtId="0" fontId="17" fillId="4" borderId="64" xfId="1" applyFont="1" applyFill="1" applyBorder="1" applyAlignment="1">
      <alignment horizontal="center" vertical="center"/>
    </xf>
    <xf numFmtId="172" fontId="38" fillId="4" borderId="64" xfId="1" applyNumberFormat="1" applyFont="1" applyFill="1" applyBorder="1" applyAlignment="1">
      <alignment horizontal="center" vertical="center"/>
    </xf>
    <xf numFmtId="14" fontId="38" fillId="4" borderId="64" xfId="1" applyNumberFormat="1" applyFont="1" applyFill="1" applyBorder="1" applyAlignment="1">
      <alignment horizontal="center" vertical="center"/>
    </xf>
    <xf numFmtId="2" fontId="38" fillId="4" borderId="100" xfId="1" applyNumberFormat="1" applyFont="1" applyFill="1" applyBorder="1" applyAlignment="1">
      <alignment horizontal="center" vertical="center"/>
    </xf>
    <xf numFmtId="3" fontId="17" fillId="0" borderId="99" xfId="1" applyNumberFormat="1" applyFont="1" applyFill="1" applyBorder="1" applyAlignment="1">
      <alignment horizontal="center" vertical="center"/>
    </xf>
    <xf numFmtId="2" fontId="38" fillId="4" borderId="276" xfId="1" applyNumberFormat="1" applyFont="1" applyFill="1" applyBorder="1" applyAlignment="1">
      <alignment horizontal="center" vertical="center"/>
    </xf>
    <xf numFmtId="3" fontId="17" fillId="0" borderId="300" xfId="1" applyNumberFormat="1" applyFont="1" applyFill="1" applyBorder="1" applyAlignment="1">
      <alignment horizontal="center" vertical="center"/>
    </xf>
    <xf numFmtId="3" fontId="17" fillId="4" borderId="290" xfId="1" applyNumberFormat="1" applyFont="1" applyFill="1" applyBorder="1" applyAlignment="1">
      <alignment horizontal="center" vertical="center"/>
    </xf>
    <xf numFmtId="3" fontId="17" fillId="0" borderId="284" xfId="1" applyNumberFormat="1" applyFont="1" applyFill="1" applyBorder="1" applyAlignment="1">
      <alignment horizontal="center" vertical="center"/>
    </xf>
    <xf numFmtId="3" fontId="17" fillId="0" borderId="301" xfId="1" applyNumberFormat="1" applyFont="1" applyFill="1" applyBorder="1" applyAlignment="1">
      <alignment horizontal="center" vertical="center"/>
    </xf>
    <xf numFmtId="3" fontId="17" fillId="4" borderId="324" xfId="1" applyNumberFormat="1" applyFont="1" applyFill="1" applyBorder="1" applyAlignment="1">
      <alignment horizontal="center" vertical="center"/>
    </xf>
    <xf numFmtId="3" fontId="17" fillId="0" borderId="18" xfId="1" applyNumberFormat="1" applyFont="1" applyFill="1" applyBorder="1" applyAlignment="1">
      <alignment horizontal="center" vertical="center"/>
    </xf>
    <xf numFmtId="3" fontId="17" fillId="0" borderId="311" xfId="1" applyNumberFormat="1" applyFont="1" applyFill="1" applyBorder="1" applyAlignment="1">
      <alignment horizontal="center" vertical="center"/>
    </xf>
    <xf numFmtId="3" fontId="38" fillId="4" borderId="311" xfId="1" applyNumberFormat="1" applyFont="1" applyFill="1" applyBorder="1" applyAlignment="1">
      <alignment horizontal="left" vertical="center"/>
    </xf>
    <xf numFmtId="172" fontId="38" fillId="4" borderId="311" xfId="1" applyNumberFormat="1" applyFont="1" applyFill="1" applyBorder="1" applyAlignment="1">
      <alignment horizontal="center" vertical="center"/>
    </xf>
    <xf numFmtId="14" fontId="38" fillId="4" borderId="311" xfId="1" applyNumberFormat="1" applyFont="1" applyFill="1" applyBorder="1" applyAlignment="1">
      <alignment horizontal="center" vertical="center"/>
    </xf>
    <xf numFmtId="3" fontId="38" fillId="0" borderId="317" xfId="1" applyNumberFormat="1" applyFont="1" applyFill="1" applyBorder="1" applyAlignment="1">
      <alignment horizontal="center" vertical="center"/>
    </xf>
    <xf numFmtId="3" fontId="17" fillId="0" borderId="317" xfId="1" applyNumberFormat="1" applyFont="1" applyFill="1" applyBorder="1" applyAlignment="1">
      <alignment horizontal="center" vertical="center"/>
    </xf>
    <xf numFmtId="3" fontId="38" fillId="4" borderId="317" xfId="1" applyNumberFormat="1" applyFont="1" applyFill="1" applyBorder="1" applyAlignment="1">
      <alignment horizontal="left" vertical="center"/>
    </xf>
    <xf numFmtId="172" fontId="38" fillId="4" borderId="317" xfId="1" applyNumberFormat="1" applyFont="1" applyFill="1" applyBorder="1" applyAlignment="1">
      <alignment horizontal="center" vertical="center"/>
    </xf>
    <xf numFmtId="14" fontId="38" fillId="4" borderId="317" xfId="1" applyNumberFormat="1" applyFont="1" applyFill="1" applyBorder="1" applyAlignment="1">
      <alignment horizontal="center" vertical="center"/>
    </xf>
    <xf numFmtId="3" fontId="17" fillId="4" borderId="319" xfId="1" applyNumberFormat="1" applyFont="1" applyFill="1" applyBorder="1" applyAlignment="1">
      <alignment horizontal="center" vertical="center"/>
    </xf>
    <xf numFmtId="0" fontId="17" fillId="4" borderId="317" xfId="1" applyFont="1" applyFill="1" applyBorder="1" applyAlignment="1">
      <alignment horizontal="center" vertical="center"/>
    </xf>
    <xf numFmtId="0" fontId="17" fillId="4" borderId="311" xfId="1" applyFont="1" applyFill="1" applyBorder="1" applyAlignment="1">
      <alignment horizontal="center" vertical="center"/>
    </xf>
    <xf numFmtId="0" fontId="43" fillId="4" borderId="286" xfId="1" applyFont="1" applyFill="1" applyBorder="1" applyAlignment="1">
      <alignment horizontal="center" vertical="center"/>
    </xf>
    <xf numFmtId="3" fontId="38" fillId="0" borderId="326" xfId="1" applyNumberFormat="1" applyFont="1" applyFill="1" applyBorder="1" applyAlignment="1">
      <alignment horizontal="center" vertical="center"/>
    </xf>
    <xf numFmtId="3" fontId="38" fillId="0" borderId="325" xfId="1" applyNumberFormat="1" applyFont="1" applyFill="1" applyBorder="1" applyAlignment="1">
      <alignment horizontal="center" vertical="center"/>
    </xf>
    <xf numFmtId="2" fontId="38" fillId="4" borderId="329" xfId="1" applyNumberFormat="1" applyFont="1" applyFill="1" applyBorder="1" applyAlignment="1">
      <alignment horizontal="center" vertical="center"/>
    </xf>
    <xf numFmtId="3" fontId="17" fillId="4" borderId="330" xfId="1" applyNumberFormat="1" applyFont="1" applyFill="1" applyBorder="1" applyAlignment="1">
      <alignment horizontal="center" vertical="center"/>
    </xf>
    <xf numFmtId="3" fontId="17" fillId="0" borderId="326" xfId="1" applyNumberFormat="1" applyFont="1" applyFill="1" applyBorder="1" applyAlignment="1">
      <alignment horizontal="center" vertical="center"/>
    </xf>
    <xf numFmtId="3" fontId="17" fillId="0" borderId="230" xfId="1" applyNumberFormat="1" applyFont="1" applyFill="1" applyBorder="1" applyAlignment="1">
      <alignment horizontal="center" vertical="center"/>
    </xf>
    <xf numFmtId="3" fontId="17" fillId="4" borderId="316" xfId="1" applyNumberFormat="1" applyFont="1" applyFill="1" applyBorder="1" applyAlignment="1">
      <alignment horizontal="center" vertical="center"/>
    </xf>
    <xf numFmtId="3" fontId="17" fillId="0" borderId="24" xfId="1" applyNumberFormat="1" applyFont="1" applyFill="1" applyBorder="1" applyAlignment="1">
      <alignment horizontal="center" vertical="center"/>
    </xf>
    <xf numFmtId="0" fontId="23" fillId="24" borderId="21" xfId="1" applyFont="1" applyFill="1" applyBorder="1" applyAlignment="1">
      <alignment horizontal="center" vertical="center"/>
    </xf>
    <xf numFmtId="3" fontId="17" fillId="0" borderId="22" xfId="1" applyNumberFormat="1" applyFont="1" applyFill="1" applyBorder="1" applyAlignment="1">
      <alignment horizontal="center" vertical="center"/>
    </xf>
    <xf numFmtId="3" fontId="17" fillId="0" borderId="72" xfId="1" applyNumberFormat="1" applyFont="1" applyFill="1" applyBorder="1" applyAlignment="1">
      <alignment horizontal="center" vertical="center"/>
    </xf>
    <xf numFmtId="3" fontId="38" fillId="24" borderId="72" xfId="1" applyNumberFormat="1" applyFont="1" applyFill="1" applyBorder="1" applyAlignment="1">
      <alignment horizontal="left" vertical="center"/>
    </xf>
    <xf numFmtId="3" fontId="38" fillId="24" borderId="72" xfId="1" applyNumberFormat="1" applyFont="1" applyFill="1" applyBorder="1" applyAlignment="1">
      <alignment horizontal="center" vertical="center"/>
    </xf>
    <xf numFmtId="0" fontId="17" fillId="24" borderId="72" xfId="1" applyFont="1" applyFill="1" applyBorder="1" applyAlignment="1">
      <alignment horizontal="center" vertical="center"/>
    </xf>
    <xf numFmtId="172" fontId="38" fillId="24" borderId="72" xfId="1" applyNumberFormat="1" applyFont="1" applyFill="1" applyBorder="1" applyAlignment="1">
      <alignment horizontal="center" vertical="center"/>
    </xf>
    <xf numFmtId="14" fontId="38" fillId="24" borderId="72" xfId="1" applyNumberFormat="1" applyFont="1" applyFill="1" applyBorder="1" applyAlignment="1">
      <alignment horizontal="center" vertical="center"/>
    </xf>
    <xf numFmtId="2" fontId="38" fillId="24" borderId="183" xfId="1" applyNumberFormat="1" applyFont="1" applyFill="1" applyBorder="1" applyAlignment="1">
      <alignment horizontal="center" vertical="center"/>
    </xf>
    <xf numFmtId="3" fontId="17" fillId="0" borderId="78" xfId="1" applyNumberFormat="1" applyFont="1" applyFill="1" applyBorder="1" applyAlignment="1">
      <alignment horizontal="center" vertical="center"/>
    </xf>
    <xf numFmtId="3" fontId="38" fillId="24" borderId="24" xfId="1" applyNumberFormat="1" applyFont="1" applyFill="1" applyBorder="1" applyAlignment="1">
      <alignment horizontal="left" vertical="center"/>
    </xf>
    <xf numFmtId="172" fontId="38" fillId="24" borderId="24" xfId="1" applyNumberFormat="1" applyFont="1" applyFill="1" applyBorder="1" applyAlignment="1">
      <alignment horizontal="center" vertical="center"/>
    </xf>
    <xf numFmtId="14" fontId="38" fillId="24" borderId="24" xfId="1" applyNumberFormat="1" applyFont="1" applyFill="1" applyBorder="1" applyAlignment="1">
      <alignment horizontal="center" vertical="center"/>
    </xf>
    <xf numFmtId="2" fontId="38" fillId="24" borderId="100" xfId="1" applyNumberFormat="1" applyFont="1" applyFill="1" applyBorder="1" applyAlignment="1">
      <alignment horizontal="center" vertical="center"/>
    </xf>
    <xf numFmtId="3" fontId="17" fillId="24" borderId="242" xfId="1" applyNumberFormat="1" applyFont="1" applyFill="1" applyBorder="1" applyAlignment="1">
      <alignment horizontal="center" vertical="center"/>
    </xf>
    <xf numFmtId="3" fontId="17" fillId="24" borderId="64" xfId="1" applyNumberFormat="1" applyFont="1" applyFill="1" applyBorder="1" applyAlignment="1">
      <alignment horizontal="left" vertical="center"/>
    </xf>
    <xf numFmtId="0" fontId="17" fillId="24" borderId="64" xfId="1" applyFont="1" applyFill="1" applyBorder="1" applyAlignment="1">
      <alignment horizontal="center" vertical="center"/>
    </xf>
    <xf numFmtId="172" fontId="17" fillId="24" borderId="64" xfId="1" applyNumberFormat="1" applyFont="1" applyFill="1" applyBorder="1" applyAlignment="1">
      <alignment horizontal="center" vertical="center"/>
    </xf>
    <xf numFmtId="14" fontId="38" fillId="24" borderId="64" xfId="1" applyNumberFormat="1" applyFont="1" applyFill="1" applyBorder="1" applyAlignment="1">
      <alignment horizontal="center" vertical="center"/>
    </xf>
    <xf numFmtId="3" fontId="17" fillId="0" borderId="249" xfId="1" applyNumberFormat="1" applyFont="1" applyFill="1" applyBorder="1" applyAlignment="1">
      <alignment horizontal="center" vertical="center"/>
    </xf>
    <xf numFmtId="3" fontId="17" fillId="0" borderId="245" xfId="1" applyNumberFormat="1" applyFont="1" applyFill="1" applyBorder="1" applyAlignment="1">
      <alignment horizontal="center" vertical="center"/>
    </xf>
    <xf numFmtId="3" fontId="17" fillId="0" borderId="251" xfId="1" applyNumberFormat="1" applyFont="1" applyFill="1" applyBorder="1" applyAlignment="1">
      <alignment horizontal="center" vertical="center"/>
    </xf>
    <xf numFmtId="2" fontId="38" fillId="24" borderId="250" xfId="1" applyNumberFormat="1" applyFont="1" applyFill="1" applyBorder="1" applyAlignment="1">
      <alignment horizontal="center" vertical="center"/>
    </xf>
    <xf numFmtId="3" fontId="17" fillId="24" borderId="30" xfId="1" applyNumberFormat="1" applyFont="1" applyFill="1" applyBorder="1" applyAlignment="1">
      <alignment horizontal="center" vertical="center"/>
    </xf>
    <xf numFmtId="3" fontId="17" fillId="0" borderId="169" xfId="1" applyNumberFormat="1" applyFont="1" applyFill="1" applyBorder="1" applyAlignment="1">
      <alignment horizontal="center" vertical="center"/>
    </xf>
    <xf numFmtId="3" fontId="17" fillId="0" borderId="52" xfId="1" applyNumberFormat="1" applyFont="1" applyFill="1" applyBorder="1" applyAlignment="1">
      <alignment horizontal="center" vertical="center"/>
    </xf>
    <xf numFmtId="14" fontId="38" fillId="24" borderId="169" xfId="1" applyNumberFormat="1" applyFont="1" applyFill="1" applyBorder="1" applyAlignment="1">
      <alignment horizontal="center" vertical="center"/>
    </xf>
    <xf numFmtId="2" fontId="38" fillId="24" borderId="20" xfId="1" applyNumberFormat="1" applyFont="1" applyFill="1" applyBorder="1" applyAlignment="1">
      <alignment horizontal="center" vertical="center"/>
    </xf>
    <xf numFmtId="3" fontId="39" fillId="24" borderId="27" xfId="1" applyNumberFormat="1" applyFont="1" applyFill="1" applyBorder="1" applyAlignment="1">
      <alignment horizontal="center" vertical="center"/>
    </xf>
    <xf numFmtId="3" fontId="38" fillId="24" borderId="64" xfId="1" applyNumberFormat="1" applyFont="1" applyFill="1" applyBorder="1" applyAlignment="1">
      <alignment horizontal="left" vertical="center"/>
    </xf>
    <xf numFmtId="3" fontId="38" fillId="24" borderId="64" xfId="1" applyNumberFormat="1" applyFont="1" applyFill="1" applyBorder="1" applyAlignment="1">
      <alignment horizontal="center" vertical="center"/>
    </xf>
    <xf numFmtId="172" fontId="38" fillId="24" borderId="64" xfId="1" applyNumberFormat="1" applyFont="1" applyFill="1" applyBorder="1" applyAlignment="1">
      <alignment horizontal="center" vertical="center"/>
    </xf>
    <xf numFmtId="0" fontId="23" fillId="25" borderId="25" xfId="1" applyFont="1" applyFill="1" applyBorder="1" applyAlignment="1">
      <alignment horizontal="center" vertical="center"/>
    </xf>
    <xf numFmtId="3" fontId="38" fillId="25" borderId="64" xfId="1" applyNumberFormat="1" applyFont="1" applyFill="1" applyBorder="1" applyAlignment="1">
      <alignment horizontal="left" vertical="center"/>
    </xf>
    <xf numFmtId="3" fontId="38" fillId="25" borderId="64" xfId="1" applyNumberFormat="1" applyFont="1" applyFill="1" applyBorder="1" applyAlignment="1">
      <alignment horizontal="center" vertical="center"/>
    </xf>
    <xf numFmtId="0" fontId="17" fillId="25" borderId="64" xfId="1" applyFont="1" applyFill="1" applyBorder="1" applyAlignment="1">
      <alignment horizontal="center" vertical="center"/>
    </xf>
    <xf numFmtId="172" fontId="38" fillId="25" borderId="64" xfId="1" applyNumberFormat="1" applyFont="1" applyFill="1" applyBorder="1" applyAlignment="1">
      <alignment horizontal="center" vertical="center"/>
    </xf>
    <xf numFmtId="14" fontId="38" fillId="25" borderId="64" xfId="1" applyNumberFormat="1" applyFont="1" applyFill="1" applyBorder="1" applyAlignment="1">
      <alignment horizontal="center" vertical="center"/>
    </xf>
    <xf numFmtId="3" fontId="17" fillId="0" borderId="333" xfId="1" applyNumberFormat="1" applyFont="1" applyFill="1" applyBorder="1" applyAlignment="1">
      <alignment horizontal="center" vertical="center"/>
    </xf>
    <xf numFmtId="3" fontId="17" fillId="0" borderId="332" xfId="1" applyNumberFormat="1" applyFont="1" applyFill="1" applyBorder="1" applyAlignment="1">
      <alignment horizontal="center" vertical="center"/>
    </xf>
    <xf numFmtId="3" fontId="38" fillId="24" borderId="332" xfId="1" applyNumberFormat="1" applyFont="1" applyFill="1" applyBorder="1" applyAlignment="1">
      <alignment horizontal="left" vertical="center"/>
    </xf>
    <xf numFmtId="172" fontId="38" fillId="24" borderId="332" xfId="1" applyNumberFormat="1" applyFont="1" applyFill="1" applyBorder="1" applyAlignment="1">
      <alignment horizontal="center" vertical="center"/>
    </xf>
    <xf numFmtId="3" fontId="17" fillId="0" borderId="331" xfId="1" applyNumberFormat="1" applyFont="1" applyFill="1" applyBorder="1" applyAlignment="1">
      <alignment horizontal="center" vertical="center"/>
    </xf>
    <xf numFmtId="172" fontId="38" fillId="24" borderId="245" xfId="1" applyNumberFormat="1" applyFont="1" applyFill="1" applyBorder="1" applyAlignment="1">
      <alignment horizontal="center" vertical="center"/>
    </xf>
    <xf numFmtId="14" fontId="38" fillId="24" borderId="245" xfId="1" applyNumberFormat="1" applyFont="1" applyFill="1" applyBorder="1" applyAlignment="1">
      <alignment horizontal="center" vertical="center"/>
    </xf>
    <xf numFmtId="0" fontId="23" fillId="27" borderId="25" xfId="1" applyFont="1" applyFill="1" applyBorder="1" applyAlignment="1">
      <alignment horizontal="center" vertical="center"/>
    </xf>
    <xf numFmtId="3" fontId="38" fillId="0" borderId="245" xfId="1" applyNumberFormat="1" applyFont="1" applyFill="1" applyBorder="1" applyAlignment="1">
      <alignment horizontal="center" vertical="center"/>
    </xf>
    <xf numFmtId="3" fontId="38" fillId="0" borderId="249" xfId="1" applyNumberFormat="1" applyFont="1" applyFill="1" applyBorder="1" applyAlignment="1">
      <alignment horizontal="center" vertical="center"/>
    </xf>
    <xf numFmtId="3" fontId="38" fillId="25" borderId="332" xfId="1" applyNumberFormat="1" applyFont="1" applyFill="1" applyBorder="1" applyAlignment="1">
      <alignment horizontal="left" vertical="center"/>
    </xf>
    <xf numFmtId="172" fontId="38" fillId="25" borderId="332" xfId="1" applyNumberFormat="1" applyFont="1" applyFill="1" applyBorder="1" applyAlignment="1">
      <alignment horizontal="center" vertical="center"/>
    </xf>
    <xf numFmtId="14" fontId="38" fillId="25" borderId="332" xfId="1" applyNumberFormat="1" applyFont="1" applyFill="1" applyBorder="1" applyAlignment="1">
      <alignment horizontal="center" vertical="center"/>
    </xf>
    <xf numFmtId="3" fontId="38" fillId="0" borderId="331" xfId="1" applyNumberFormat="1" applyFont="1" applyFill="1" applyBorder="1" applyAlignment="1">
      <alignment horizontal="center" vertical="center"/>
    </xf>
    <xf numFmtId="3" fontId="17" fillId="0" borderId="279" xfId="1" applyNumberFormat="1" applyFont="1" applyFill="1" applyBorder="1" applyAlignment="1">
      <alignment horizontal="center" vertical="center"/>
    </xf>
    <xf numFmtId="0" fontId="43" fillId="26" borderId="17" xfId="1" applyFont="1" applyFill="1" applyBorder="1" applyAlignment="1">
      <alignment horizontal="center" vertical="center"/>
    </xf>
    <xf numFmtId="3" fontId="38" fillId="0" borderId="259" xfId="1" applyNumberFormat="1" applyFont="1" applyFill="1" applyBorder="1" applyAlignment="1">
      <alignment horizontal="center" vertical="center"/>
    </xf>
    <xf numFmtId="3" fontId="17" fillId="0" borderId="283" xfId="1" applyNumberFormat="1" applyFont="1" applyFill="1" applyBorder="1" applyAlignment="1">
      <alignment horizontal="center" vertical="center"/>
    </xf>
    <xf numFmtId="2" fontId="38" fillId="24" borderId="270" xfId="1" applyNumberFormat="1" applyFont="1" applyFill="1" applyBorder="1" applyAlignment="1">
      <alignment horizontal="center" vertical="center"/>
    </xf>
    <xf numFmtId="0" fontId="23" fillId="27" borderId="17" xfId="1" applyFont="1" applyFill="1" applyBorder="1" applyAlignment="1">
      <alignment horizontal="center" vertical="center"/>
    </xf>
    <xf numFmtId="3" fontId="38" fillId="8" borderId="64" xfId="1" applyNumberFormat="1" applyFont="1" applyFill="1" applyBorder="1" applyAlignment="1">
      <alignment horizontal="center" vertical="center"/>
    </xf>
    <xf numFmtId="3" fontId="38" fillId="27" borderId="64" xfId="1" applyNumberFormat="1" applyFont="1" applyFill="1" applyBorder="1" applyAlignment="1">
      <alignment horizontal="left" vertical="center"/>
    </xf>
    <xf numFmtId="3" fontId="38" fillId="27" borderId="64" xfId="1" applyNumberFormat="1" applyFont="1" applyFill="1" applyBorder="1" applyAlignment="1">
      <alignment horizontal="center" vertical="center"/>
    </xf>
    <xf numFmtId="0" fontId="17" fillId="27" borderId="64" xfId="1" applyFont="1" applyFill="1" applyBorder="1" applyAlignment="1">
      <alignment horizontal="center" vertical="center"/>
    </xf>
    <xf numFmtId="172" fontId="38" fillId="27" borderId="64" xfId="1" applyNumberFormat="1" applyFont="1" applyFill="1" applyBorder="1" applyAlignment="1">
      <alignment horizontal="center" vertical="center"/>
    </xf>
    <xf numFmtId="14" fontId="38" fillId="27" borderId="64" xfId="1" applyNumberFormat="1" applyFont="1" applyFill="1" applyBorder="1" applyAlignment="1">
      <alignment horizontal="center" vertical="center"/>
    </xf>
    <xf numFmtId="0" fontId="23" fillId="25" borderId="17" xfId="1" applyFont="1" applyFill="1" applyBorder="1" applyAlignment="1">
      <alignment horizontal="center" vertical="center"/>
    </xf>
    <xf numFmtId="3" fontId="38" fillId="24" borderId="259" xfId="1" applyNumberFormat="1" applyFont="1" applyFill="1" applyBorder="1" applyAlignment="1">
      <alignment horizontal="left" vertical="center"/>
    </xf>
    <xf numFmtId="172" fontId="38" fillId="24" borderId="259" xfId="1" applyNumberFormat="1" applyFont="1" applyFill="1" applyBorder="1" applyAlignment="1">
      <alignment horizontal="center" vertical="center"/>
    </xf>
    <xf numFmtId="14" fontId="38" fillId="24" borderId="259" xfId="1" applyNumberFormat="1" applyFont="1" applyFill="1" applyBorder="1" applyAlignment="1">
      <alignment horizontal="center" vertical="center"/>
    </xf>
    <xf numFmtId="0" fontId="43" fillId="27" borderId="17" xfId="1" applyFont="1" applyFill="1" applyBorder="1" applyAlignment="1">
      <alignment horizontal="center" vertical="center"/>
    </xf>
    <xf numFmtId="3" fontId="38" fillId="0" borderId="332" xfId="1" applyNumberFormat="1" applyFont="1" applyFill="1" applyBorder="1" applyAlignment="1">
      <alignment horizontal="center" vertical="center"/>
    </xf>
    <xf numFmtId="3" fontId="17" fillId="24" borderId="331" xfId="1" applyNumberFormat="1" applyFont="1" applyFill="1" applyBorder="1" applyAlignment="1">
      <alignment horizontal="center" vertical="center"/>
    </xf>
    <xf numFmtId="0" fontId="43" fillId="25" borderId="17" xfId="1" applyFont="1" applyFill="1" applyBorder="1" applyAlignment="1">
      <alignment horizontal="center" vertical="center"/>
    </xf>
    <xf numFmtId="3" fontId="39" fillId="25" borderId="326" xfId="1" applyNumberFormat="1" applyFont="1" applyFill="1" applyBorder="1" applyAlignment="1">
      <alignment horizontal="center" vertical="center"/>
    </xf>
    <xf numFmtId="3" fontId="39" fillId="25" borderId="325" xfId="1" applyNumberFormat="1" applyFont="1" applyFill="1" applyBorder="1" applyAlignment="1">
      <alignment horizontal="center" vertical="center"/>
    </xf>
    <xf numFmtId="3" fontId="38" fillId="25" borderId="325" xfId="1" applyNumberFormat="1" applyFont="1" applyFill="1" applyBorder="1" applyAlignment="1">
      <alignment horizontal="left" vertical="center"/>
    </xf>
    <xf numFmtId="3" fontId="38" fillId="25" borderId="325" xfId="1" applyNumberFormat="1" applyFont="1" applyFill="1" applyBorder="1" applyAlignment="1">
      <alignment horizontal="center" vertical="center"/>
    </xf>
    <xf numFmtId="172" fontId="38" fillId="25" borderId="325" xfId="1" applyNumberFormat="1" applyFont="1" applyFill="1" applyBorder="1" applyAlignment="1">
      <alignment horizontal="center" vertical="center"/>
    </xf>
    <xf numFmtId="14" fontId="38" fillId="25" borderId="325" xfId="1" applyNumberFormat="1" applyFont="1" applyFill="1" applyBorder="1" applyAlignment="1">
      <alignment horizontal="center" vertical="center"/>
    </xf>
    <xf numFmtId="3" fontId="39" fillId="27" borderId="331" xfId="1" applyNumberFormat="1" applyFont="1" applyFill="1" applyBorder="1" applyAlignment="1">
      <alignment horizontal="center" vertical="center"/>
    </xf>
    <xf numFmtId="0" fontId="43" fillId="25" borderId="338" xfId="1" applyFont="1" applyFill="1" applyBorder="1" applyAlignment="1">
      <alignment horizontal="center" vertical="center"/>
    </xf>
    <xf numFmtId="3" fontId="39" fillId="25" borderId="332" xfId="1" applyNumberFormat="1" applyFont="1" applyFill="1" applyBorder="1" applyAlignment="1">
      <alignment horizontal="center" vertical="center"/>
    </xf>
    <xf numFmtId="3" fontId="38" fillId="25" borderId="332" xfId="1" applyNumberFormat="1" applyFont="1" applyFill="1" applyBorder="1" applyAlignment="1">
      <alignment horizontal="center" vertical="center"/>
    </xf>
    <xf numFmtId="0" fontId="17" fillId="25" borderId="332" xfId="1" applyFont="1" applyFill="1" applyBorder="1" applyAlignment="1">
      <alignment horizontal="center" vertical="center"/>
    </xf>
    <xf numFmtId="3" fontId="39" fillId="24" borderId="64" xfId="1" applyNumberFormat="1" applyFont="1" applyFill="1" applyBorder="1" applyAlignment="1">
      <alignment horizontal="center" vertical="center"/>
    </xf>
    <xf numFmtId="0" fontId="23" fillId="26" borderId="17" xfId="1" applyFont="1" applyFill="1" applyBorder="1" applyAlignment="1">
      <alignment horizontal="center" vertical="center"/>
    </xf>
    <xf numFmtId="3" fontId="39" fillId="26" borderId="99" xfId="1" applyNumberFormat="1" applyFont="1" applyFill="1" applyBorder="1" applyAlignment="1">
      <alignment horizontal="center" vertical="center"/>
    </xf>
    <xf numFmtId="3" fontId="39" fillId="26" borderId="64" xfId="1" applyNumberFormat="1" applyFont="1" applyFill="1" applyBorder="1" applyAlignment="1">
      <alignment horizontal="center" vertical="center"/>
    </xf>
    <xf numFmtId="0" fontId="17" fillId="26" borderId="64" xfId="1" applyFont="1" applyFill="1" applyBorder="1" applyAlignment="1">
      <alignment horizontal="center" vertical="center"/>
    </xf>
    <xf numFmtId="172" fontId="38" fillId="26" borderId="64" xfId="1" applyNumberFormat="1" applyFont="1" applyFill="1" applyBorder="1" applyAlignment="1">
      <alignment horizontal="center" vertical="center"/>
    </xf>
    <xf numFmtId="14" fontId="38" fillId="26" borderId="64" xfId="1" applyNumberFormat="1" applyFont="1" applyFill="1" applyBorder="1" applyAlignment="1">
      <alignment horizontal="center" vertical="center"/>
    </xf>
    <xf numFmtId="3" fontId="17" fillId="24" borderId="102" xfId="1" applyNumberFormat="1" applyFont="1" applyFill="1" applyBorder="1" applyAlignment="1">
      <alignment horizontal="center" vertical="center"/>
    </xf>
    <xf numFmtId="3" fontId="17" fillId="24" borderId="64" xfId="1" applyNumberFormat="1" applyFont="1" applyFill="1" applyBorder="1" applyAlignment="1">
      <alignment horizontal="center" vertical="center"/>
    </xf>
    <xf numFmtId="3" fontId="38" fillId="0" borderId="72" xfId="1" applyNumberFormat="1" applyFont="1" applyFill="1" applyBorder="1" applyAlignment="1">
      <alignment horizontal="center" vertical="center"/>
    </xf>
    <xf numFmtId="3" fontId="17" fillId="24" borderId="258" xfId="1" applyNumberFormat="1" applyFont="1" applyFill="1" applyBorder="1" applyAlignment="1">
      <alignment horizontal="center" vertical="center"/>
    </xf>
    <xf numFmtId="3" fontId="17" fillId="24" borderId="24" xfId="1" applyNumberFormat="1" applyFont="1" applyFill="1" applyBorder="1" applyAlignment="1">
      <alignment horizontal="center" vertical="center"/>
    </xf>
    <xf numFmtId="3" fontId="38" fillId="0" borderId="24" xfId="1" applyNumberFormat="1" applyFont="1" applyFill="1" applyBorder="1" applyAlignment="1">
      <alignment horizontal="center" vertical="center"/>
    </xf>
    <xf numFmtId="3" fontId="17" fillId="0" borderId="2" xfId="1" applyNumberFormat="1" applyFont="1" applyFill="1" applyBorder="1" applyAlignment="1">
      <alignment horizontal="center" vertical="center"/>
    </xf>
    <xf numFmtId="3" fontId="38" fillId="0" borderId="78" xfId="1" applyNumberFormat="1" applyFont="1" applyFill="1" applyBorder="1" applyAlignment="1">
      <alignment horizontal="center" vertical="center"/>
    </xf>
    <xf numFmtId="3" fontId="39" fillId="25" borderId="99" xfId="1" applyNumberFormat="1" applyFont="1" applyFill="1" applyBorder="1" applyAlignment="1">
      <alignment horizontal="center" vertical="center"/>
    </xf>
    <xf numFmtId="3" fontId="39" fillId="25" borderId="64" xfId="1" applyNumberFormat="1" applyFont="1" applyFill="1" applyBorder="1" applyAlignment="1">
      <alignment horizontal="center" vertical="center"/>
    </xf>
    <xf numFmtId="3" fontId="38" fillId="0" borderId="2" xfId="1" applyNumberFormat="1" applyFont="1" applyFill="1" applyBorder="1" applyAlignment="1">
      <alignment horizontal="center" vertical="center"/>
    </xf>
    <xf numFmtId="3" fontId="39" fillId="24" borderId="99" xfId="1" applyNumberFormat="1" applyFont="1" applyFill="1" applyBorder="1" applyAlignment="1">
      <alignment horizontal="center" vertical="center"/>
    </xf>
    <xf numFmtId="3" fontId="39" fillId="24" borderId="72" xfId="1" applyNumberFormat="1" applyFont="1" applyFill="1" applyBorder="1" applyAlignment="1">
      <alignment horizontal="center" vertical="center"/>
    </xf>
    <xf numFmtId="3" fontId="38" fillId="0" borderId="22" xfId="1" applyNumberFormat="1" applyFont="1" applyFill="1" applyBorder="1" applyAlignment="1">
      <alignment horizontal="center" vertical="center"/>
    </xf>
    <xf numFmtId="3" fontId="39" fillId="27" borderId="64" xfId="1" applyNumberFormat="1" applyFont="1" applyFill="1" applyBorder="1" applyAlignment="1">
      <alignment horizontal="center" vertical="center"/>
    </xf>
    <xf numFmtId="0" fontId="23" fillId="27" borderId="338" xfId="1" applyFont="1" applyFill="1" applyBorder="1" applyAlignment="1">
      <alignment horizontal="center" vertical="center"/>
    </xf>
    <xf numFmtId="0" fontId="43" fillId="25" borderId="25" xfId="1" applyFont="1" applyFill="1" applyBorder="1" applyAlignment="1">
      <alignment horizontal="center" vertical="center"/>
    </xf>
    <xf numFmtId="3" fontId="39" fillId="25" borderId="331" xfId="1" applyNumberFormat="1" applyFont="1" applyFill="1" applyBorder="1" applyAlignment="1">
      <alignment horizontal="center" vertical="center"/>
    </xf>
    <xf numFmtId="3" fontId="38" fillId="25" borderId="331" xfId="1" applyNumberFormat="1" applyFont="1" applyFill="1" applyBorder="1" applyAlignment="1">
      <alignment horizontal="left" vertical="center"/>
    </xf>
    <xf numFmtId="3" fontId="38" fillId="25" borderId="331" xfId="1" applyNumberFormat="1" applyFont="1" applyFill="1" applyBorder="1" applyAlignment="1">
      <alignment horizontal="center" vertical="center"/>
    </xf>
    <xf numFmtId="0" fontId="17" fillId="25" borderId="331" xfId="1" applyFont="1" applyFill="1" applyBorder="1" applyAlignment="1">
      <alignment horizontal="center" vertical="center"/>
    </xf>
    <xf numFmtId="14" fontId="38" fillId="25" borderId="331" xfId="1" applyNumberFormat="1" applyFont="1" applyFill="1" applyBorder="1" applyAlignment="1">
      <alignment horizontal="center" vertical="center"/>
    </xf>
    <xf numFmtId="0" fontId="17" fillId="25" borderId="325" xfId="1" applyFont="1" applyFill="1" applyBorder="1" applyAlignment="1">
      <alignment horizontal="center" vertical="center"/>
    </xf>
    <xf numFmtId="3" fontId="39" fillId="27" borderId="326" xfId="1" applyNumberFormat="1" applyFont="1" applyFill="1" applyBorder="1" applyAlignment="1">
      <alignment horizontal="center" vertical="center"/>
    </xf>
    <xf numFmtId="3" fontId="39" fillId="27" borderId="325" xfId="1" applyNumberFormat="1" applyFont="1" applyFill="1" applyBorder="1" applyAlignment="1">
      <alignment horizontal="center" vertical="center"/>
    </xf>
    <xf numFmtId="3" fontId="38" fillId="27" borderId="325" xfId="1" applyNumberFormat="1" applyFont="1" applyFill="1" applyBorder="1" applyAlignment="1">
      <alignment horizontal="left" vertical="center"/>
    </xf>
    <xf numFmtId="3" fontId="38" fillId="27" borderId="325" xfId="1" applyNumberFormat="1" applyFont="1" applyFill="1" applyBorder="1" applyAlignment="1">
      <alignment horizontal="center" vertical="center"/>
    </xf>
    <xf numFmtId="0" fontId="17" fillId="27" borderId="325" xfId="1" applyFont="1" applyFill="1" applyBorder="1" applyAlignment="1">
      <alignment horizontal="center" vertical="center"/>
    </xf>
    <xf numFmtId="172" fontId="38" fillId="27" borderId="325" xfId="1" applyNumberFormat="1" applyFont="1" applyFill="1" applyBorder="1" applyAlignment="1">
      <alignment horizontal="center" vertical="center"/>
    </xf>
    <xf numFmtId="14" fontId="38" fillId="27" borderId="325" xfId="1" applyNumberFormat="1" applyFont="1" applyFill="1" applyBorder="1" applyAlignment="1">
      <alignment horizontal="center" vertical="center"/>
    </xf>
    <xf numFmtId="0" fontId="43" fillId="41" borderId="17" xfId="1" applyFont="1" applyFill="1" applyBorder="1" applyAlignment="1">
      <alignment horizontal="center" vertical="center"/>
    </xf>
    <xf numFmtId="3" fontId="39" fillId="27" borderId="99" xfId="1" applyNumberFormat="1" applyFont="1" applyFill="1" applyBorder="1" applyAlignment="1">
      <alignment horizontal="center" vertical="center"/>
    </xf>
    <xf numFmtId="3" fontId="17" fillId="25" borderId="99" xfId="1" applyNumberFormat="1" applyFont="1" applyFill="1" applyBorder="1" applyAlignment="1">
      <alignment horizontal="center" vertical="center"/>
    </xf>
    <xf numFmtId="3" fontId="39" fillId="24" borderId="331" xfId="1" applyNumberFormat="1" applyFont="1" applyFill="1" applyBorder="1" applyAlignment="1">
      <alignment horizontal="center" vertical="center"/>
    </xf>
    <xf numFmtId="3" fontId="39" fillId="26" borderId="325" xfId="1" applyNumberFormat="1" applyFont="1" applyFill="1" applyBorder="1" applyAlignment="1">
      <alignment horizontal="center" vertical="center"/>
    </xf>
    <xf numFmtId="3" fontId="38" fillId="26" borderId="325" xfId="1" applyNumberFormat="1" applyFont="1" applyFill="1" applyBorder="1" applyAlignment="1">
      <alignment horizontal="left" vertical="center"/>
    </xf>
    <xf numFmtId="3" fontId="38" fillId="26" borderId="325" xfId="1" applyNumberFormat="1" applyFont="1" applyFill="1" applyBorder="1" applyAlignment="1">
      <alignment horizontal="center" vertical="center"/>
    </xf>
    <xf numFmtId="14" fontId="38" fillId="26" borderId="325" xfId="1" applyNumberFormat="1" applyFont="1" applyFill="1" applyBorder="1" applyAlignment="1">
      <alignment horizontal="center" vertical="center"/>
    </xf>
    <xf numFmtId="0" fontId="23" fillId="25" borderId="338" xfId="1" applyFont="1" applyFill="1" applyBorder="1" applyAlignment="1">
      <alignment horizontal="center" vertical="center"/>
    </xf>
    <xf numFmtId="172" fontId="38" fillId="25" borderId="331" xfId="1" applyNumberFormat="1" applyFont="1" applyFill="1" applyBorder="1" applyAlignment="1">
      <alignment horizontal="center" vertical="center"/>
    </xf>
    <xf numFmtId="3" fontId="17" fillId="25" borderId="326" xfId="1" applyNumberFormat="1" applyFont="1" applyFill="1" applyBorder="1" applyAlignment="1">
      <alignment horizontal="center" vertical="center"/>
    </xf>
    <xf numFmtId="3" fontId="38" fillId="0" borderId="169" xfId="1" applyNumberFormat="1" applyFont="1" applyFill="1" applyBorder="1" applyAlignment="1">
      <alignment horizontal="center" vertical="center"/>
    </xf>
    <xf numFmtId="3" fontId="38" fillId="0" borderId="333" xfId="1" applyNumberFormat="1" applyFont="1" applyFill="1" applyBorder="1" applyAlignment="1">
      <alignment horizontal="center" vertical="center"/>
    </xf>
    <xf numFmtId="172" fontId="17" fillId="25" borderId="325" xfId="1" applyNumberFormat="1" applyFont="1" applyFill="1" applyBorder="1" applyAlignment="1">
      <alignment horizontal="center" vertical="center"/>
    </xf>
    <xf numFmtId="0" fontId="23" fillId="34" borderId="17" xfId="1" applyFont="1" applyFill="1" applyBorder="1" applyAlignment="1">
      <alignment horizontal="center" vertical="center"/>
    </xf>
    <xf numFmtId="3" fontId="39" fillId="34" borderId="326" xfId="1" applyNumberFormat="1" applyFont="1" applyFill="1" applyBorder="1" applyAlignment="1">
      <alignment horizontal="center" vertical="center"/>
    </xf>
    <xf numFmtId="3" fontId="39" fillId="34" borderId="325" xfId="1" applyNumberFormat="1" applyFont="1" applyFill="1" applyBorder="1" applyAlignment="1">
      <alignment horizontal="center" vertical="center"/>
    </xf>
    <xf numFmtId="3" fontId="38" fillId="34" borderId="325" xfId="1" applyNumberFormat="1" applyFont="1" applyFill="1" applyBorder="1" applyAlignment="1">
      <alignment horizontal="left" vertical="center"/>
    </xf>
    <xf numFmtId="3" fontId="38" fillId="34" borderId="325" xfId="1" applyNumberFormat="1" applyFont="1" applyFill="1" applyBorder="1" applyAlignment="1">
      <alignment horizontal="center" vertical="center"/>
    </xf>
    <xf numFmtId="172" fontId="38" fillId="34" borderId="325" xfId="1" applyNumberFormat="1" applyFont="1" applyFill="1" applyBorder="1" applyAlignment="1">
      <alignment horizontal="center" vertical="center"/>
    </xf>
    <xf numFmtId="14" fontId="38" fillId="34" borderId="325" xfId="1" applyNumberFormat="1" applyFont="1" applyFill="1" applyBorder="1" applyAlignment="1">
      <alignment horizontal="center" vertical="center"/>
    </xf>
    <xf numFmtId="0" fontId="43" fillId="34" borderId="17" xfId="1" applyFont="1" applyFill="1" applyBorder="1" applyAlignment="1">
      <alignment horizontal="center" vertical="center"/>
    </xf>
    <xf numFmtId="0" fontId="17" fillId="34" borderId="325" xfId="1" applyFont="1" applyFill="1" applyBorder="1" applyAlignment="1">
      <alignment horizontal="center" vertical="center"/>
    </xf>
    <xf numFmtId="0" fontId="23" fillId="34" borderId="25" xfId="1" applyFont="1" applyFill="1" applyBorder="1" applyAlignment="1">
      <alignment horizontal="center" vertical="center"/>
    </xf>
    <xf numFmtId="3" fontId="38" fillId="35" borderId="64" xfId="1" applyNumberFormat="1" applyFont="1" applyFill="1" applyBorder="1" applyAlignment="1">
      <alignment horizontal="left" vertical="center"/>
    </xf>
    <xf numFmtId="3" fontId="38" fillId="35" borderId="64" xfId="1" applyNumberFormat="1" applyFont="1" applyFill="1" applyBorder="1" applyAlignment="1">
      <alignment horizontal="center" vertical="center"/>
    </xf>
    <xf numFmtId="172" fontId="38" fillId="35" borderId="64" xfId="1" applyNumberFormat="1" applyFont="1" applyFill="1" applyBorder="1" applyAlignment="1">
      <alignment horizontal="center" vertical="center"/>
    </xf>
    <xf numFmtId="14" fontId="38" fillId="35" borderId="64" xfId="1" applyNumberFormat="1" applyFont="1" applyFill="1" applyBorder="1" applyAlignment="1">
      <alignment horizontal="center" vertical="center"/>
    </xf>
    <xf numFmtId="2" fontId="38" fillId="35" borderId="183" xfId="1" applyNumberFormat="1" applyFont="1" applyFill="1" applyBorder="1" applyAlignment="1">
      <alignment horizontal="center" vertical="center"/>
    </xf>
    <xf numFmtId="0" fontId="17" fillId="35" borderId="72" xfId="1" applyFont="1" applyFill="1" applyBorder="1" applyAlignment="1">
      <alignment horizontal="center" vertical="center"/>
    </xf>
    <xf numFmtId="3" fontId="39" fillId="34" borderId="99" xfId="1" applyNumberFormat="1" applyFont="1" applyFill="1" applyBorder="1" applyAlignment="1">
      <alignment horizontal="center" vertical="center"/>
    </xf>
    <xf numFmtId="3" fontId="39" fillId="34" borderId="64" xfId="1" applyNumberFormat="1" applyFont="1" applyFill="1" applyBorder="1" applyAlignment="1">
      <alignment horizontal="center" vertical="center"/>
    </xf>
    <xf numFmtId="3" fontId="38" fillId="34" borderId="64" xfId="1" applyNumberFormat="1" applyFont="1" applyFill="1" applyBorder="1" applyAlignment="1">
      <alignment horizontal="left" vertical="center"/>
    </xf>
    <xf numFmtId="172" fontId="17" fillId="34" borderId="64" xfId="1" applyNumberFormat="1" applyFont="1" applyFill="1" applyBorder="1" applyAlignment="1">
      <alignment horizontal="center" vertical="center"/>
    </xf>
    <xf numFmtId="14" fontId="38" fillId="34" borderId="64" xfId="1" applyNumberFormat="1" applyFont="1" applyFill="1" applyBorder="1" applyAlignment="1">
      <alignment horizontal="center" vertical="center"/>
    </xf>
    <xf numFmtId="2" fontId="38" fillId="35" borderId="100" xfId="1" applyNumberFormat="1" applyFont="1" applyFill="1" applyBorder="1" applyAlignment="1">
      <alignment horizontal="center" vertical="center"/>
    </xf>
    <xf numFmtId="0" fontId="23" fillId="34" borderId="21" xfId="1" applyFont="1" applyFill="1" applyBorder="1" applyAlignment="1">
      <alignment horizontal="center" vertical="center"/>
    </xf>
    <xf numFmtId="3" fontId="38" fillId="34" borderId="64" xfId="1" applyNumberFormat="1" applyFont="1" applyFill="1" applyBorder="1" applyAlignment="1">
      <alignment horizontal="center" vertical="center"/>
    </xf>
    <xf numFmtId="0" fontId="17" fillId="34" borderId="64" xfId="1" applyFont="1" applyFill="1" applyBorder="1" applyAlignment="1">
      <alignment horizontal="center" vertical="center"/>
    </xf>
    <xf numFmtId="172" fontId="38" fillId="34" borderId="64" xfId="1" applyNumberFormat="1" applyFont="1" applyFill="1" applyBorder="1" applyAlignment="1">
      <alignment horizontal="center" vertical="center"/>
    </xf>
    <xf numFmtId="3" fontId="39" fillId="34" borderId="258" xfId="1" applyNumberFormat="1" applyFont="1" applyFill="1" applyBorder="1" applyAlignment="1">
      <alignment horizontal="center" vertical="center"/>
    </xf>
    <xf numFmtId="3" fontId="39" fillId="34" borderId="24" xfId="1" applyNumberFormat="1" applyFont="1" applyFill="1" applyBorder="1" applyAlignment="1">
      <alignment horizontal="center" vertical="center"/>
    </xf>
    <xf numFmtId="3" fontId="38" fillId="34" borderId="24" xfId="1" applyNumberFormat="1" applyFont="1" applyFill="1" applyBorder="1" applyAlignment="1">
      <alignment horizontal="left" vertical="center"/>
    </xf>
    <xf numFmtId="3" fontId="38" fillId="34" borderId="24" xfId="1" applyNumberFormat="1" applyFont="1" applyFill="1" applyBorder="1" applyAlignment="1">
      <alignment horizontal="center" vertical="center"/>
    </xf>
    <xf numFmtId="0" fontId="17" fillId="34" borderId="24" xfId="1" applyFont="1" applyFill="1" applyBorder="1" applyAlignment="1">
      <alignment horizontal="center" vertical="center"/>
    </xf>
    <xf numFmtId="172" fontId="38" fillId="34" borderId="24" xfId="1" applyNumberFormat="1" applyFont="1" applyFill="1" applyBorder="1" applyAlignment="1">
      <alignment horizontal="center" vertical="center"/>
    </xf>
    <xf numFmtId="14" fontId="38" fillId="34" borderId="24" xfId="1" applyNumberFormat="1" applyFont="1" applyFill="1" applyBorder="1" applyAlignment="1">
      <alignment horizontal="center" vertical="center"/>
    </xf>
    <xf numFmtId="3" fontId="17" fillId="34" borderId="102" xfId="1" applyNumberFormat="1" applyFont="1" applyFill="1" applyBorder="1" applyAlignment="1">
      <alignment horizontal="center" vertical="center"/>
    </xf>
    <xf numFmtId="3" fontId="38" fillId="34" borderId="72" xfId="1" applyNumberFormat="1" applyFont="1" applyFill="1" applyBorder="1" applyAlignment="1">
      <alignment horizontal="left" vertical="center"/>
    </xf>
    <xf numFmtId="3" fontId="38" fillId="34" borderId="72" xfId="1" applyNumberFormat="1" applyFont="1" applyFill="1" applyBorder="1" applyAlignment="1">
      <alignment horizontal="center" vertical="center"/>
    </xf>
    <xf numFmtId="0" fontId="17" fillId="34" borderId="72" xfId="1" applyFont="1" applyFill="1" applyBorder="1" applyAlignment="1">
      <alignment horizontal="center" vertical="center"/>
    </xf>
    <xf numFmtId="14" fontId="38" fillId="34" borderId="72" xfId="1" applyNumberFormat="1" applyFont="1" applyFill="1" applyBorder="1" applyAlignment="1">
      <alignment horizontal="center" vertical="center"/>
    </xf>
    <xf numFmtId="3" fontId="39" fillId="35" borderId="99" xfId="1" applyNumberFormat="1" applyFont="1" applyFill="1" applyBorder="1" applyAlignment="1">
      <alignment horizontal="center" vertical="center"/>
    </xf>
    <xf numFmtId="3" fontId="39" fillId="35" borderId="64" xfId="1" applyNumberFormat="1" applyFont="1" applyFill="1" applyBorder="1" applyAlignment="1">
      <alignment horizontal="center" vertical="center"/>
    </xf>
    <xf numFmtId="3" fontId="17" fillId="35" borderId="64" xfId="1" applyNumberFormat="1" applyFont="1" applyFill="1" applyBorder="1" applyAlignment="1">
      <alignment horizontal="center" vertical="center"/>
    </xf>
    <xf numFmtId="0" fontId="17" fillId="35" borderId="64" xfId="1" applyFont="1" applyFill="1" applyBorder="1" applyAlignment="1">
      <alignment horizontal="center" vertical="center"/>
    </xf>
    <xf numFmtId="0" fontId="23" fillId="34" borderId="28" xfId="1" applyFont="1" applyFill="1" applyBorder="1" applyAlignment="1">
      <alignment horizontal="center" vertical="center"/>
    </xf>
    <xf numFmtId="3" fontId="39" fillId="34" borderId="102" xfId="1" applyNumberFormat="1" applyFont="1" applyFill="1" applyBorder="1" applyAlignment="1">
      <alignment horizontal="center" vertical="center"/>
    </xf>
    <xf numFmtId="3" fontId="39" fillId="34" borderId="72" xfId="1" applyNumberFormat="1" applyFont="1" applyFill="1" applyBorder="1" applyAlignment="1">
      <alignment horizontal="center" vertical="center"/>
    </xf>
    <xf numFmtId="172" fontId="38" fillId="34" borderId="72" xfId="1" applyNumberFormat="1" applyFont="1" applyFill="1" applyBorder="1" applyAlignment="1">
      <alignment horizontal="center" vertical="center"/>
    </xf>
    <xf numFmtId="3" fontId="17" fillId="35" borderId="99" xfId="1" applyNumberFormat="1" applyFont="1" applyFill="1" applyBorder="1" applyAlignment="1">
      <alignment horizontal="center" vertical="center"/>
    </xf>
    <xf numFmtId="3" fontId="38" fillId="0" borderId="64" xfId="1" applyNumberFormat="1" applyFont="1" applyFill="1" applyBorder="1" applyAlignment="1">
      <alignment horizontal="center" vertical="center" shrinkToFit="1"/>
    </xf>
    <xf numFmtId="3" fontId="38" fillId="35" borderId="72" xfId="1" applyNumberFormat="1" applyFont="1" applyFill="1" applyBorder="1" applyAlignment="1">
      <alignment horizontal="left" vertical="center"/>
    </xf>
    <xf numFmtId="172" fontId="38" fillId="35" borderId="72" xfId="1" applyNumberFormat="1" applyFont="1" applyFill="1" applyBorder="1" applyAlignment="1">
      <alignment horizontal="center" vertical="center"/>
    </xf>
    <xf numFmtId="14" fontId="38" fillId="35" borderId="72" xfId="1" applyNumberFormat="1" applyFont="1" applyFill="1" applyBorder="1" applyAlignment="1">
      <alignment horizontal="center" vertical="center"/>
    </xf>
    <xf numFmtId="3" fontId="17" fillId="34" borderId="99" xfId="1" applyNumberFormat="1" applyFont="1" applyFill="1" applyBorder="1" applyAlignment="1">
      <alignment horizontal="center" vertical="center"/>
    </xf>
    <xf numFmtId="3" fontId="38" fillId="35" borderId="24" xfId="1" applyNumberFormat="1" applyFont="1" applyFill="1" applyBorder="1" applyAlignment="1">
      <alignment horizontal="left" vertical="center"/>
    </xf>
    <xf numFmtId="0" fontId="17" fillId="35" borderId="24" xfId="1" applyFont="1" applyFill="1" applyBorder="1" applyAlignment="1">
      <alignment horizontal="center" vertical="center"/>
    </xf>
    <xf numFmtId="14" fontId="38" fillId="35" borderId="24" xfId="1" applyNumberFormat="1" applyFont="1" applyFill="1" applyBorder="1" applyAlignment="1">
      <alignment horizontal="center" vertical="center"/>
    </xf>
    <xf numFmtId="0" fontId="43" fillId="34" borderId="21" xfId="1" applyFont="1" applyFill="1" applyBorder="1" applyAlignment="1">
      <alignment horizontal="center" vertical="center"/>
    </xf>
    <xf numFmtId="172" fontId="38" fillId="35" borderId="24" xfId="1" applyNumberFormat="1" applyFont="1" applyFill="1" applyBorder="1" applyAlignment="1">
      <alignment horizontal="center" vertical="center"/>
    </xf>
    <xf numFmtId="0" fontId="23" fillId="34" borderId="246" xfId="1" applyFont="1" applyFill="1" applyBorder="1" applyAlignment="1">
      <alignment horizontal="center" vertical="center"/>
    </xf>
    <xf numFmtId="3" fontId="39" fillId="34" borderId="255" xfId="1" applyNumberFormat="1" applyFont="1" applyFill="1" applyBorder="1" applyAlignment="1">
      <alignment horizontal="center" vertical="center"/>
    </xf>
    <xf numFmtId="3" fontId="39" fillId="34" borderId="245" xfId="1" applyNumberFormat="1" applyFont="1" applyFill="1" applyBorder="1" applyAlignment="1">
      <alignment horizontal="center" vertical="center"/>
    </xf>
    <xf numFmtId="3" fontId="38" fillId="34" borderId="245" xfId="1" applyNumberFormat="1" applyFont="1" applyFill="1" applyBorder="1" applyAlignment="1">
      <alignment horizontal="left" vertical="center"/>
    </xf>
    <xf numFmtId="3" fontId="38" fillId="34" borderId="245" xfId="1" applyNumberFormat="1" applyFont="1" applyFill="1" applyBorder="1" applyAlignment="1">
      <alignment horizontal="center" vertical="center"/>
    </xf>
    <xf numFmtId="0" fontId="17" fillId="34" borderId="245" xfId="1" applyFont="1" applyFill="1" applyBorder="1" applyAlignment="1">
      <alignment horizontal="center" vertical="center"/>
    </xf>
    <xf numFmtId="172" fontId="38" fillId="34" borderId="245" xfId="1" applyNumberFormat="1" applyFont="1" applyFill="1" applyBorder="1" applyAlignment="1">
      <alignment horizontal="center" vertical="center"/>
    </xf>
    <xf numFmtId="14" fontId="38" fillId="34" borderId="245" xfId="1" applyNumberFormat="1" applyFont="1" applyFill="1" applyBorder="1" applyAlignment="1">
      <alignment horizontal="center" vertical="center"/>
    </xf>
    <xf numFmtId="2" fontId="38" fillId="35" borderId="250" xfId="1" applyNumberFormat="1" applyFont="1" applyFill="1" applyBorder="1" applyAlignment="1">
      <alignment horizontal="center" vertical="center"/>
    </xf>
    <xf numFmtId="3" fontId="39" fillId="34" borderId="18" xfId="1" applyNumberFormat="1" applyFont="1" applyFill="1" applyBorder="1" applyAlignment="1">
      <alignment horizontal="center" vertical="center"/>
    </xf>
    <xf numFmtId="3" fontId="39" fillId="34" borderId="169" xfId="1" applyNumberFormat="1" applyFont="1" applyFill="1" applyBorder="1" applyAlignment="1">
      <alignment horizontal="center" vertical="center"/>
    </xf>
    <xf numFmtId="3" fontId="38" fillId="34" borderId="169" xfId="1" applyNumberFormat="1" applyFont="1" applyFill="1" applyBorder="1" applyAlignment="1">
      <alignment horizontal="left" vertical="center"/>
    </xf>
    <xf numFmtId="3" fontId="38" fillId="34" borderId="169" xfId="1" applyNumberFormat="1" applyFont="1" applyFill="1" applyBorder="1" applyAlignment="1">
      <alignment horizontal="center" vertical="center"/>
    </xf>
    <xf numFmtId="0" fontId="17" fillId="34" borderId="169" xfId="1" applyFont="1" applyFill="1" applyBorder="1" applyAlignment="1">
      <alignment horizontal="center" vertical="center"/>
    </xf>
    <xf numFmtId="172" fontId="38" fillId="34" borderId="169" xfId="1" applyNumberFormat="1" applyFont="1" applyFill="1" applyBorder="1" applyAlignment="1">
      <alignment horizontal="center" vertical="center"/>
    </xf>
    <xf numFmtId="14" fontId="38" fillId="34" borderId="169" xfId="1" applyNumberFormat="1" applyFont="1" applyFill="1" applyBorder="1" applyAlignment="1">
      <alignment horizontal="center" vertical="center"/>
    </xf>
    <xf numFmtId="2" fontId="38" fillId="35" borderId="20" xfId="1" applyNumberFormat="1" applyFont="1" applyFill="1" applyBorder="1" applyAlignment="1">
      <alignment horizontal="center" vertical="center"/>
    </xf>
    <xf numFmtId="3" fontId="38" fillId="35" borderId="169" xfId="1" applyNumberFormat="1" applyFont="1" applyFill="1" applyBorder="1" applyAlignment="1">
      <alignment horizontal="left" vertical="center"/>
    </xf>
    <xf numFmtId="172" fontId="38" fillId="35" borderId="169" xfId="1" applyNumberFormat="1" applyFont="1" applyFill="1" applyBorder="1" applyAlignment="1">
      <alignment horizontal="center" vertical="center"/>
    </xf>
    <xf numFmtId="14" fontId="38" fillId="35" borderId="169" xfId="1" applyNumberFormat="1" applyFont="1" applyFill="1" applyBorder="1" applyAlignment="1">
      <alignment horizontal="center" vertical="center"/>
    </xf>
    <xf numFmtId="3" fontId="38" fillId="35" borderId="245" xfId="1" applyNumberFormat="1" applyFont="1" applyFill="1" applyBorder="1" applyAlignment="1">
      <alignment horizontal="left" vertical="center"/>
    </xf>
    <xf numFmtId="3" fontId="38" fillId="35" borderId="245" xfId="1" applyNumberFormat="1" applyFont="1" applyFill="1" applyBorder="1" applyAlignment="1">
      <alignment horizontal="center" vertical="center"/>
    </xf>
    <xf numFmtId="0" fontId="17" fillId="35" borderId="245" xfId="1" applyFont="1" applyFill="1" applyBorder="1" applyAlignment="1">
      <alignment horizontal="center" vertical="center"/>
    </xf>
    <xf numFmtId="172" fontId="38" fillId="35" borderId="245" xfId="1" applyNumberFormat="1" applyFont="1" applyFill="1" applyBorder="1" applyAlignment="1">
      <alignment horizontal="center" vertical="center"/>
    </xf>
    <xf numFmtId="14" fontId="38" fillId="35" borderId="245" xfId="1" applyNumberFormat="1" applyFont="1" applyFill="1" applyBorder="1" applyAlignment="1">
      <alignment horizontal="center" vertical="center"/>
    </xf>
    <xf numFmtId="0" fontId="23" fillId="29" borderId="17" xfId="1" applyFont="1" applyFill="1" applyBorder="1" applyAlignment="1">
      <alignment horizontal="center" vertical="center"/>
    </xf>
    <xf numFmtId="0" fontId="23" fillId="28" borderId="17" xfId="1" applyFont="1" applyFill="1" applyBorder="1" applyAlignment="1">
      <alignment horizontal="center" vertical="center"/>
    </xf>
    <xf numFmtId="3" fontId="38" fillId="0" borderId="348" xfId="1" applyNumberFormat="1" applyFont="1" applyFill="1" applyBorder="1" applyAlignment="1">
      <alignment horizontal="center" vertical="center"/>
    </xf>
    <xf numFmtId="3" fontId="38" fillId="0" borderId="304" xfId="1" applyNumberFormat="1" applyFont="1" applyFill="1" applyBorder="1" applyAlignment="1">
      <alignment horizontal="center" vertical="center"/>
    </xf>
    <xf numFmtId="3" fontId="17" fillId="0" borderId="305" xfId="1" applyNumberFormat="1" applyFont="1" applyFill="1" applyBorder="1" applyAlignment="1">
      <alignment horizontal="center" vertical="center"/>
    </xf>
    <xf numFmtId="3" fontId="17" fillId="0" borderId="178" xfId="1" applyNumberFormat="1" applyFont="1" applyFill="1" applyBorder="1" applyAlignment="1">
      <alignment horizontal="center" vertical="center"/>
    </xf>
    <xf numFmtId="0" fontId="23" fillId="28" borderId="21" xfId="1" applyFont="1" applyFill="1" applyBorder="1" applyAlignment="1">
      <alignment horizontal="center" vertical="center"/>
    </xf>
    <xf numFmtId="0" fontId="23" fillId="29" borderId="21" xfId="1" applyFont="1" applyFill="1" applyBorder="1" applyAlignment="1">
      <alignment horizontal="center" vertical="center"/>
    </xf>
    <xf numFmtId="3" fontId="38" fillId="0" borderId="356" xfId="1" applyNumberFormat="1" applyFont="1" applyFill="1" applyBorder="1" applyAlignment="1">
      <alignment horizontal="center" vertical="center"/>
    </xf>
    <xf numFmtId="3" fontId="38" fillId="0" borderId="365" xfId="1" applyNumberFormat="1" applyFont="1" applyFill="1" applyBorder="1" applyAlignment="1">
      <alignment horizontal="center" vertical="center"/>
    </xf>
    <xf numFmtId="3" fontId="17" fillId="0" borderId="365" xfId="1" applyNumberFormat="1" applyFont="1" applyFill="1" applyBorder="1" applyAlignment="1">
      <alignment horizontal="center" vertical="center"/>
    </xf>
    <xf numFmtId="3" fontId="17" fillId="0" borderId="347" xfId="1" applyNumberFormat="1" applyFont="1" applyFill="1" applyBorder="1" applyAlignment="1">
      <alignment horizontal="center" vertical="center"/>
    </xf>
    <xf numFmtId="0" fontId="43" fillId="12" borderId="17" xfId="1" applyFont="1" applyFill="1" applyBorder="1" applyAlignment="1">
      <alignment horizontal="center" vertical="center"/>
    </xf>
    <xf numFmtId="3" fontId="17" fillId="12" borderId="325" xfId="1" applyNumberFormat="1" applyFont="1" applyFill="1" applyBorder="1" applyAlignment="1">
      <alignment horizontal="center" vertical="center"/>
    </xf>
    <xf numFmtId="2" fontId="38" fillId="11" borderId="318" xfId="1" applyNumberFormat="1" applyFont="1" applyFill="1" applyBorder="1" applyAlignment="1">
      <alignment horizontal="center" vertical="center"/>
    </xf>
    <xf numFmtId="0" fontId="35" fillId="11" borderId="25" xfId="1" applyFont="1" applyFill="1" applyBorder="1" applyAlignment="1">
      <alignment horizontal="center" vertical="center"/>
    </xf>
    <xf numFmtId="3" fontId="17" fillId="11" borderId="169" xfId="1" applyNumberFormat="1" applyFont="1" applyFill="1" applyBorder="1" applyAlignment="1">
      <alignment horizontal="center" vertical="center"/>
    </xf>
    <xf numFmtId="3" fontId="38" fillId="11" borderId="169" xfId="1" applyNumberFormat="1" applyFont="1" applyFill="1" applyBorder="1" applyAlignment="1">
      <alignment horizontal="left" vertical="center"/>
    </xf>
    <xf numFmtId="3" fontId="38" fillId="11" borderId="169" xfId="1" applyNumberFormat="1" applyFont="1" applyFill="1" applyBorder="1" applyAlignment="1">
      <alignment horizontal="center" vertical="center"/>
    </xf>
    <xf numFmtId="0" fontId="17" fillId="11" borderId="169" xfId="1" applyFont="1" applyFill="1" applyBorder="1" applyAlignment="1">
      <alignment horizontal="center" vertical="center"/>
    </xf>
    <xf numFmtId="172" fontId="38" fillId="11" borderId="169" xfId="1" applyNumberFormat="1" applyFont="1" applyFill="1" applyBorder="1" applyAlignment="1">
      <alignment horizontal="center" vertical="center"/>
    </xf>
    <xf numFmtId="14" fontId="38" fillId="11" borderId="169" xfId="1" applyNumberFormat="1" applyFont="1" applyFill="1" applyBorder="1" applyAlignment="1">
      <alignment horizontal="center" vertical="center"/>
    </xf>
    <xf numFmtId="2" fontId="38" fillId="11" borderId="20" xfId="1" applyNumberFormat="1" applyFont="1" applyFill="1" applyBorder="1" applyAlignment="1">
      <alignment horizontal="center" vertical="center"/>
    </xf>
    <xf numFmtId="3" fontId="17" fillId="12" borderId="99" xfId="1" applyNumberFormat="1" applyFont="1" applyFill="1" applyBorder="1" applyAlignment="1">
      <alignment horizontal="center" vertical="center"/>
    </xf>
    <xf numFmtId="3" fontId="17" fillId="12" borderId="64" xfId="1" applyNumberFormat="1" applyFont="1" applyFill="1" applyBorder="1" applyAlignment="1">
      <alignment horizontal="center" vertical="center"/>
    </xf>
    <xf numFmtId="3" fontId="17" fillId="12" borderId="64" xfId="1" applyNumberFormat="1" applyFont="1" applyFill="1" applyBorder="1" applyAlignment="1">
      <alignment horizontal="left" vertical="center"/>
    </xf>
    <xf numFmtId="0" fontId="17" fillId="12" borderId="64" xfId="1" applyFont="1" applyFill="1" applyBorder="1" applyAlignment="1">
      <alignment horizontal="center" vertical="center"/>
    </xf>
    <xf numFmtId="172" fontId="17" fillId="12" borderId="64" xfId="1" applyNumberFormat="1" applyFont="1" applyFill="1" applyBorder="1" applyAlignment="1">
      <alignment horizontal="center" vertical="center"/>
    </xf>
    <xf numFmtId="14" fontId="17" fillId="12" borderId="64" xfId="1" applyNumberFormat="1" applyFont="1" applyFill="1" applyBorder="1" applyAlignment="1">
      <alignment horizontal="center" vertical="center"/>
    </xf>
    <xf numFmtId="2" fontId="38" fillId="11" borderId="100" xfId="1" applyNumberFormat="1" applyFont="1" applyFill="1" applyBorder="1" applyAlignment="1">
      <alignment horizontal="center" vertical="center"/>
    </xf>
    <xf numFmtId="0" fontId="35" fillId="12" borderId="17" xfId="1" applyFont="1" applyFill="1" applyBorder="1" applyAlignment="1">
      <alignment horizontal="center" vertical="center"/>
    </xf>
    <xf numFmtId="3" fontId="17" fillId="12" borderId="245" xfId="1" applyNumberFormat="1" applyFont="1" applyFill="1" applyBorder="1" applyAlignment="1">
      <alignment horizontal="center" vertical="center"/>
    </xf>
    <xf numFmtId="2" fontId="38" fillId="11" borderId="250" xfId="1" applyNumberFormat="1" applyFont="1" applyFill="1" applyBorder="1" applyAlignment="1">
      <alignment horizontal="center" vertical="center"/>
    </xf>
    <xf numFmtId="0" fontId="43" fillId="12" borderId="25" xfId="1" applyFont="1" applyFill="1" applyBorder="1" applyAlignment="1">
      <alignment horizontal="center" vertical="center"/>
    </xf>
    <xf numFmtId="0" fontId="35" fillId="12" borderId="25" xfId="1" applyFont="1" applyFill="1" applyBorder="1" applyAlignment="1">
      <alignment horizontal="center" vertical="center"/>
    </xf>
    <xf numFmtId="3" fontId="17" fillId="12" borderId="169" xfId="1" applyNumberFormat="1" applyFont="1" applyFill="1" applyBorder="1" applyAlignment="1">
      <alignment horizontal="center" vertical="center"/>
    </xf>
    <xf numFmtId="3" fontId="17" fillId="12" borderId="169" xfId="1" applyNumberFormat="1" applyFont="1" applyFill="1" applyBorder="1" applyAlignment="1">
      <alignment horizontal="left" vertical="center"/>
    </xf>
    <xf numFmtId="0" fontId="17" fillId="12" borderId="169" xfId="1" applyFont="1" applyFill="1" applyBorder="1" applyAlignment="1">
      <alignment horizontal="center" vertical="center"/>
    </xf>
    <xf numFmtId="172" fontId="17" fillId="12" borderId="169" xfId="1" applyNumberFormat="1" applyFont="1" applyFill="1" applyBorder="1" applyAlignment="1">
      <alignment horizontal="center" vertical="center"/>
    </xf>
    <xf numFmtId="14" fontId="17" fillId="12" borderId="169" xfId="1" applyNumberFormat="1" applyFont="1" applyFill="1" applyBorder="1" applyAlignment="1">
      <alignment horizontal="center" vertical="center"/>
    </xf>
    <xf numFmtId="3" fontId="17" fillId="10" borderId="64" xfId="1" applyNumberFormat="1" applyFont="1" applyFill="1" applyBorder="1" applyAlignment="1">
      <alignment horizontal="center" vertical="center"/>
    </xf>
    <xf numFmtId="3" fontId="17" fillId="11" borderId="99" xfId="1" applyNumberFormat="1" applyFont="1" applyFill="1" applyBorder="1" applyAlignment="1">
      <alignment horizontal="center" vertical="center"/>
    </xf>
    <xf numFmtId="0" fontId="17" fillId="10" borderId="64" xfId="1" applyFont="1" applyFill="1" applyBorder="1" applyAlignment="1">
      <alignment horizontal="center" vertical="center"/>
    </xf>
    <xf numFmtId="3" fontId="38" fillId="11" borderId="99" xfId="1" applyNumberFormat="1" applyFont="1" applyFill="1" applyBorder="1" applyAlignment="1">
      <alignment horizontal="center" vertical="center"/>
    </xf>
    <xf numFmtId="3" fontId="38" fillId="11" borderId="64" xfId="1" applyNumberFormat="1" applyFont="1" applyFill="1" applyBorder="1" applyAlignment="1">
      <alignment horizontal="center" vertical="center"/>
    </xf>
    <xf numFmtId="3" fontId="17" fillId="11" borderId="64" xfId="1" applyNumberFormat="1" applyFont="1" applyFill="1" applyBorder="1" applyAlignment="1">
      <alignment horizontal="center" vertical="center"/>
    </xf>
    <xf numFmtId="3" fontId="17" fillId="11" borderId="249" xfId="1" applyNumberFormat="1" applyFont="1" applyFill="1" applyBorder="1" applyAlignment="1">
      <alignment horizontal="center" vertical="center"/>
    </xf>
    <xf numFmtId="3" fontId="17" fillId="11" borderId="18" xfId="1" applyNumberFormat="1" applyFont="1" applyFill="1" applyBorder="1" applyAlignment="1">
      <alignment horizontal="center" vertical="center"/>
    </xf>
    <xf numFmtId="3" fontId="17" fillId="11" borderId="230" xfId="1" applyNumberFormat="1" applyFont="1" applyFill="1" applyBorder="1" applyAlignment="1">
      <alignment horizontal="center" vertical="center"/>
    </xf>
    <xf numFmtId="3" fontId="38" fillId="11" borderId="64" xfId="1" applyNumberFormat="1" applyFont="1" applyFill="1" applyBorder="1" applyAlignment="1">
      <alignment horizontal="left" vertical="center"/>
    </xf>
    <xf numFmtId="0" fontId="17" fillId="11" borderId="64" xfId="1" applyFont="1" applyFill="1" applyBorder="1" applyAlignment="1">
      <alignment horizontal="center" vertical="center"/>
    </xf>
    <xf numFmtId="172" fontId="38" fillId="11" borderId="64" xfId="1" applyNumberFormat="1" applyFont="1" applyFill="1" applyBorder="1" applyAlignment="1">
      <alignment horizontal="center" vertical="center"/>
    </xf>
    <xf numFmtId="0" fontId="35" fillId="10" borderId="17" xfId="1" applyFont="1" applyFill="1" applyBorder="1" applyAlignment="1">
      <alignment horizontal="center" vertical="center"/>
    </xf>
    <xf numFmtId="0" fontId="35" fillId="11" borderId="246" xfId="1" applyFont="1" applyFill="1" applyBorder="1" applyAlignment="1">
      <alignment horizontal="center" vertical="center"/>
    </xf>
    <xf numFmtId="3" fontId="38" fillId="11" borderId="245" xfId="1" applyNumberFormat="1" applyFont="1" applyFill="1" applyBorder="1" applyAlignment="1">
      <alignment horizontal="center" vertical="center"/>
    </xf>
    <xf numFmtId="3" fontId="17" fillId="11" borderId="245" xfId="1" applyNumberFormat="1" applyFont="1" applyFill="1" applyBorder="1" applyAlignment="1">
      <alignment horizontal="center" vertical="center"/>
    </xf>
    <xf numFmtId="3" fontId="38" fillId="11" borderId="245" xfId="1" applyNumberFormat="1" applyFont="1" applyFill="1" applyBorder="1" applyAlignment="1">
      <alignment horizontal="left" vertical="center"/>
    </xf>
    <xf numFmtId="172" fontId="38" fillId="11" borderId="245" xfId="1" applyNumberFormat="1" applyFont="1" applyFill="1" applyBorder="1" applyAlignment="1">
      <alignment horizontal="center" vertical="center"/>
    </xf>
    <xf numFmtId="14" fontId="38" fillId="11" borderId="245" xfId="1" applyNumberFormat="1" applyFont="1" applyFill="1" applyBorder="1" applyAlignment="1">
      <alignment horizontal="center" vertical="center"/>
    </xf>
    <xf numFmtId="0" fontId="35" fillId="10" borderId="25" xfId="1" applyFont="1" applyFill="1" applyBorder="1" applyAlignment="1">
      <alignment horizontal="center" vertical="center"/>
    </xf>
    <xf numFmtId="3" fontId="17" fillId="10" borderId="169" xfId="1" applyNumberFormat="1" applyFont="1" applyFill="1" applyBorder="1" applyAlignment="1">
      <alignment horizontal="center" vertical="center"/>
    </xf>
    <xf numFmtId="0" fontId="17" fillId="10" borderId="169" xfId="1" applyFont="1" applyFill="1" applyBorder="1" applyAlignment="1">
      <alignment horizontal="center" vertical="center"/>
    </xf>
    <xf numFmtId="3" fontId="55" fillId="12" borderId="64" xfId="1" applyNumberFormat="1" applyFont="1" applyFill="1" applyBorder="1" applyAlignment="1">
      <alignment horizontal="center" vertical="center"/>
    </xf>
    <xf numFmtId="0" fontId="35" fillId="11" borderId="17" xfId="1" applyFont="1" applyFill="1" applyBorder="1" applyAlignment="1">
      <alignment horizontal="center" vertical="center"/>
    </xf>
    <xf numFmtId="3" fontId="38" fillId="11" borderId="230" xfId="1" applyNumberFormat="1" applyFont="1" applyFill="1" applyBorder="1" applyAlignment="1">
      <alignment horizontal="center" vertical="center"/>
    </xf>
    <xf numFmtId="3" fontId="17" fillId="11" borderId="251" xfId="1" applyNumberFormat="1" applyFont="1" applyFill="1" applyBorder="1" applyAlignment="1">
      <alignment horizontal="center" vertical="center"/>
    </xf>
    <xf numFmtId="3" fontId="17" fillId="12" borderId="52" xfId="1" applyNumberFormat="1" applyFont="1" applyFill="1" applyBorder="1" applyAlignment="1">
      <alignment horizontal="center" vertical="center"/>
    </xf>
    <xf numFmtId="3" fontId="17" fillId="11" borderId="64" xfId="1" applyNumberFormat="1" applyFont="1" applyFill="1" applyBorder="1" applyAlignment="1">
      <alignment horizontal="left" vertical="center"/>
    </xf>
    <xf numFmtId="172" fontId="17" fillId="11" borderId="64" xfId="1" applyNumberFormat="1" applyFont="1" applyFill="1" applyBorder="1" applyAlignment="1">
      <alignment horizontal="center" vertical="center"/>
    </xf>
    <xf numFmtId="14" fontId="17" fillId="11" borderId="64" xfId="1" applyNumberFormat="1" applyFont="1" applyFill="1" applyBorder="1" applyAlignment="1">
      <alignment horizontal="center" vertical="center"/>
    </xf>
    <xf numFmtId="3" fontId="17" fillId="11" borderId="326" xfId="1" applyNumberFormat="1" applyFont="1" applyFill="1" applyBorder="1" applyAlignment="1">
      <alignment horizontal="center" vertical="center"/>
    </xf>
    <xf numFmtId="3" fontId="17" fillId="11" borderId="325" xfId="1" applyNumberFormat="1" applyFont="1" applyFill="1" applyBorder="1" applyAlignment="1">
      <alignment horizontal="left" vertical="center"/>
    </xf>
    <xf numFmtId="3" fontId="17" fillId="11" borderId="325" xfId="1" applyNumberFormat="1" applyFont="1" applyFill="1" applyBorder="1" applyAlignment="1">
      <alignment horizontal="center" vertical="center"/>
    </xf>
    <xf numFmtId="0" fontId="17" fillId="11" borderId="325" xfId="1" applyFont="1" applyFill="1" applyBorder="1" applyAlignment="1">
      <alignment horizontal="center" vertical="center"/>
    </xf>
    <xf numFmtId="172" fontId="17" fillId="11" borderId="325" xfId="1" applyNumberFormat="1" applyFont="1" applyFill="1" applyBorder="1" applyAlignment="1">
      <alignment horizontal="center" vertical="center"/>
    </xf>
    <xf numFmtId="14" fontId="17" fillId="11" borderId="325" xfId="1" applyNumberFormat="1" applyFont="1" applyFill="1" applyBorder="1" applyAlignment="1">
      <alignment horizontal="center" vertical="center"/>
    </xf>
    <xf numFmtId="0" fontId="43" fillId="11" borderId="28" xfId="1" applyFont="1" applyFill="1" applyBorder="1" applyAlignment="1">
      <alignment horizontal="center" vertical="center"/>
    </xf>
    <xf numFmtId="3" fontId="17" fillId="11" borderId="346" xfId="1" applyNumberFormat="1" applyFont="1" applyFill="1" applyBorder="1" applyAlignment="1">
      <alignment horizontal="center" vertical="center"/>
    </xf>
    <xf numFmtId="3" fontId="17" fillId="11" borderId="347" xfId="1" applyNumberFormat="1" applyFont="1" applyFill="1" applyBorder="1" applyAlignment="1">
      <alignment horizontal="center" vertical="center"/>
    </xf>
    <xf numFmtId="3" fontId="38" fillId="11" borderId="347" xfId="1" applyNumberFormat="1" applyFont="1" applyFill="1" applyBorder="1" applyAlignment="1">
      <alignment horizontal="left" vertical="center"/>
    </xf>
    <xf numFmtId="172" fontId="38" fillId="11" borderId="347" xfId="1" applyNumberFormat="1" applyFont="1" applyFill="1" applyBorder="1" applyAlignment="1">
      <alignment horizontal="center" vertical="center"/>
    </xf>
    <xf numFmtId="14" fontId="38" fillId="11" borderId="347" xfId="1" applyNumberFormat="1" applyFont="1" applyFill="1" applyBorder="1" applyAlignment="1">
      <alignment horizontal="center" vertical="center"/>
    </xf>
    <xf numFmtId="2" fontId="38" fillId="11" borderId="370" xfId="1" applyNumberFormat="1" applyFont="1" applyFill="1" applyBorder="1" applyAlignment="1">
      <alignment horizontal="center" vertical="center"/>
    </xf>
    <xf numFmtId="0" fontId="35" fillId="12" borderId="21" xfId="1" applyFont="1" applyFill="1" applyBorder="1" applyAlignment="1">
      <alignment horizontal="center" vertical="center"/>
    </xf>
    <xf numFmtId="3" fontId="17" fillId="12" borderId="365" xfId="1" applyNumberFormat="1" applyFont="1" applyFill="1" applyBorder="1" applyAlignment="1">
      <alignment horizontal="center" vertical="center"/>
    </xf>
    <xf numFmtId="3" fontId="17" fillId="12" borderId="356" xfId="1" applyNumberFormat="1" applyFont="1" applyFill="1" applyBorder="1" applyAlignment="1">
      <alignment horizontal="center" vertical="center"/>
    </xf>
    <xf numFmtId="3" fontId="17" fillId="12" borderId="365" xfId="1" applyNumberFormat="1" applyFont="1" applyFill="1" applyBorder="1" applyAlignment="1">
      <alignment horizontal="left" vertical="center"/>
    </xf>
    <xf numFmtId="0" fontId="17" fillId="12" borderId="365" xfId="1" applyFont="1" applyFill="1" applyBorder="1" applyAlignment="1">
      <alignment horizontal="center" vertical="center"/>
    </xf>
    <xf numFmtId="172" fontId="17" fillId="12" borderId="365" xfId="1" applyNumberFormat="1" applyFont="1" applyFill="1" applyBorder="1" applyAlignment="1">
      <alignment horizontal="center" vertical="center"/>
    </xf>
    <xf numFmtId="14" fontId="17" fillId="12" borderId="365" xfId="1" applyNumberFormat="1" applyFont="1" applyFill="1" applyBorder="1" applyAlignment="1">
      <alignment horizontal="center" vertical="center"/>
    </xf>
    <xf numFmtId="2" fontId="38" fillId="11" borderId="307" xfId="1" applyNumberFormat="1" applyFont="1" applyFill="1" applyBorder="1" applyAlignment="1">
      <alignment horizontal="center" vertical="center"/>
    </xf>
    <xf numFmtId="3" fontId="38" fillId="11" borderId="326" xfId="1" applyNumberFormat="1" applyFont="1" applyFill="1" applyBorder="1" applyAlignment="1">
      <alignment horizontal="center" vertical="center"/>
    </xf>
    <xf numFmtId="3" fontId="38" fillId="11" borderId="325" xfId="1" applyNumberFormat="1" applyFont="1" applyFill="1" applyBorder="1" applyAlignment="1">
      <alignment horizontal="center" vertical="center"/>
    </xf>
    <xf numFmtId="3" fontId="38" fillId="11" borderId="325" xfId="1" applyNumberFormat="1" applyFont="1" applyFill="1" applyBorder="1" applyAlignment="1">
      <alignment horizontal="center" vertical="center" shrinkToFit="1"/>
    </xf>
    <xf numFmtId="3" fontId="38" fillId="11" borderId="325" xfId="1" applyNumberFormat="1" applyFont="1" applyFill="1" applyBorder="1" applyAlignment="1">
      <alignment horizontal="left" vertical="center"/>
    </xf>
    <xf numFmtId="14" fontId="38" fillId="11" borderId="325" xfId="1" applyNumberFormat="1" applyFont="1" applyFill="1" applyBorder="1" applyAlignment="1">
      <alignment horizontal="center" vertical="center"/>
    </xf>
    <xf numFmtId="172" fontId="38" fillId="11" borderId="325" xfId="1" applyNumberFormat="1" applyFont="1" applyFill="1" applyBorder="1" applyAlignment="1">
      <alignment horizontal="center" vertical="center"/>
    </xf>
    <xf numFmtId="0" fontId="35" fillId="12" borderId="28" xfId="1" applyFont="1" applyFill="1" applyBorder="1" applyAlignment="1">
      <alignment horizontal="center" vertical="center"/>
    </xf>
    <xf numFmtId="3" fontId="17" fillId="12" borderId="346" xfId="1" applyNumberFormat="1" applyFont="1" applyFill="1" applyBorder="1" applyAlignment="1">
      <alignment horizontal="center" vertical="center"/>
    </xf>
    <xf numFmtId="3" fontId="17" fillId="12" borderId="347" xfId="1" applyNumberFormat="1" applyFont="1" applyFill="1" applyBorder="1" applyAlignment="1">
      <alignment horizontal="center" vertical="center"/>
    </xf>
    <xf numFmtId="3" fontId="17" fillId="12" borderId="347" xfId="1" applyNumberFormat="1" applyFont="1" applyFill="1" applyBorder="1" applyAlignment="1">
      <alignment horizontal="left" vertical="center"/>
    </xf>
    <xf numFmtId="0" fontId="17" fillId="12" borderId="347" xfId="1" applyFont="1" applyFill="1" applyBorder="1" applyAlignment="1">
      <alignment horizontal="center" vertical="center"/>
    </xf>
    <xf numFmtId="172" fontId="17" fillId="12" borderId="347" xfId="1" applyNumberFormat="1" applyFont="1" applyFill="1" applyBorder="1" applyAlignment="1">
      <alignment horizontal="center" vertical="center"/>
    </xf>
    <xf numFmtId="14" fontId="17" fillId="12" borderId="347" xfId="1" applyNumberFormat="1" applyFont="1" applyFill="1" applyBorder="1" applyAlignment="1">
      <alignment horizontal="center" vertical="center"/>
    </xf>
    <xf numFmtId="0" fontId="43" fillId="14" borderId="21" xfId="1" applyFont="1" applyFill="1" applyBorder="1" applyAlignment="1">
      <alignment horizontal="center" vertical="center"/>
    </xf>
    <xf numFmtId="3" fontId="38" fillId="11" borderId="356" xfId="1" applyNumberFormat="1" applyFont="1" applyFill="1" applyBorder="1" applyAlignment="1">
      <alignment horizontal="center" vertical="center"/>
    </xf>
    <xf numFmtId="3" fontId="38" fillId="11" borderId="365" xfId="1" applyNumberFormat="1" applyFont="1" applyFill="1" applyBorder="1" applyAlignment="1">
      <alignment horizontal="center" vertical="center"/>
    </xf>
    <xf numFmtId="3" fontId="55" fillId="11" borderId="365" xfId="1" applyNumberFormat="1" applyFont="1" applyFill="1" applyBorder="1" applyAlignment="1">
      <alignment horizontal="center" vertical="center"/>
    </xf>
    <xf numFmtId="3" fontId="17" fillId="11" borderId="365" xfId="1" applyNumberFormat="1" applyFont="1" applyFill="1" applyBorder="1" applyAlignment="1">
      <alignment horizontal="center" vertical="center"/>
    </xf>
    <xf numFmtId="3" fontId="38" fillId="11" borderId="365" xfId="1" applyNumberFormat="1" applyFont="1" applyFill="1" applyBorder="1" applyAlignment="1">
      <alignment horizontal="left" vertical="center"/>
    </xf>
    <xf numFmtId="0" fontId="17" fillId="11" borderId="365" xfId="1" applyFont="1" applyFill="1" applyBorder="1" applyAlignment="1">
      <alignment horizontal="center" vertical="center"/>
    </xf>
    <xf numFmtId="172" fontId="38" fillId="11" borderId="365" xfId="1" applyNumberFormat="1" applyFont="1" applyFill="1" applyBorder="1" applyAlignment="1">
      <alignment horizontal="center" vertical="center"/>
    </xf>
    <xf numFmtId="14" fontId="38" fillId="11" borderId="365" xfId="1" applyNumberFormat="1" applyFont="1" applyFill="1" applyBorder="1" applyAlignment="1">
      <alignment horizontal="center" vertical="center"/>
    </xf>
    <xf numFmtId="3" fontId="17" fillId="10" borderId="325" xfId="1" applyNumberFormat="1" applyFont="1" applyFill="1" applyBorder="1" applyAlignment="1">
      <alignment horizontal="center" vertical="center"/>
    </xf>
    <xf numFmtId="14" fontId="38" fillId="11" borderId="64" xfId="1" applyNumberFormat="1" applyFont="1" applyFill="1" applyBorder="1" applyAlignment="1">
      <alignment horizontal="center" vertical="center"/>
    </xf>
    <xf numFmtId="0" fontId="35" fillId="13" borderId="246" xfId="1" applyFont="1" applyFill="1" applyBorder="1" applyAlignment="1">
      <alignment horizontal="center" vertical="center"/>
    </xf>
    <xf numFmtId="3" fontId="17" fillId="13" borderId="245" xfId="1" applyNumberFormat="1" applyFont="1" applyFill="1" applyBorder="1" applyAlignment="1">
      <alignment horizontal="left" vertical="center"/>
    </xf>
    <xf numFmtId="3" fontId="17" fillId="13" borderId="245" xfId="1" applyNumberFormat="1" applyFont="1" applyFill="1" applyBorder="1" applyAlignment="1">
      <alignment horizontal="center" vertical="center"/>
    </xf>
    <xf numFmtId="0" fontId="17" fillId="13" borderId="245" xfId="1" applyFont="1" applyFill="1" applyBorder="1" applyAlignment="1">
      <alignment horizontal="center" vertical="center"/>
    </xf>
    <xf numFmtId="172" fontId="17" fillId="13" borderId="245" xfId="1" applyNumberFormat="1" applyFont="1" applyFill="1" applyBorder="1" applyAlignment="1">
      <alignment horizontal="center" vertical="center"/>
    </xf>
    <xf numFmtId="14" fontId="17" fillId="13" borderId="245" xfId="1" applyNumberFormat="1" applyFont="1" applyFill="1" applyBorder="1" applyAlignment="1">
      <alignment horizontal="center" vertical="center"/>
    </xf>
    <xf numFmtId="0" fontId="43" fillId="14" borderId="17" xfId="1" applyFont="1" applyFill="1" applyBorder="1" applyAlignment="1">
      <alignment horizontal="center" vertical="center"/>
    </xf>
    <xf numFmtId="3" fontId="17" fillId="14" borderId="64" xfId="1" applyNumberFormat="1" applyFont="1" applyFill="1" applyBorder="1" applyAlignment="1">
      <alignment horizontal="left" vertical="center"/>
    </xf>
    <xf numFmtId="3" fontId="17" fillId="14" borderId="64" xfId="1" applyNumberFormat="1" applyFont="1" applyFill="1" applyBorder="1" applyAlignment="1">
      <alignment horizontal="center" vertical="center"/>
    </xf>
    <xf numFmtId="172" fontId="17" fillId="14" borderId="64" xfId="1" applyNumberFormat="1" applyFont="1" applyFill="1" applyBorder="1" applyAlignment="1">
      <alignment horizontal="center" vertical="center"/>
    </xf>
    <xf numFmtId="14" fontId="17" fillId="14" borderId="64" xfId="1" applyNumberFormat="1" applyFont="1" applyFill="1" applyBorder="1" applyAlignment="1">
      <alignment horizontal="center" vertical="center"/>
    </xf>
    <xf numFmtId="0" fontId="43" fillId="11" borderId="246" xfId="1" applyFont="1" applyFill="1" applyBorder="1" applyAlignment="1">
      <alignment horizontal="center" vertical="center"/>
    </xf>
    <xf numFmtId="3" fontId="55" fillId="11" borderId="245" xfId="1" applyNumberFormat="1" applyFont="1" applyFill="1" applyBorder="1" applyAlignment="1">
      <alignment horizontal="center" vertical="center"/>
    </xf>
    <xf numFmtId="3" fontId="17" fillId="11" borderId="245" xfId="1" applyNumberFormat="1" applyFont="1" applyFill="1" applyBorder="1" applyAlignment="1">
      <alignment horizontal="left" vertical="center"/>
    </xf>
    <xf numFmtId="172" fontId="17" fillId="11" borderId="245" xfId="1" applyNumberFormat="1" applyFont="1" applyFill="1" applyBorder="1" applyAlignment="1">
      <alignment horizontal="center" vertical="center"/>
    </xf>
    <xf numFmtId="14" fontId="17" fillId="11" borderId="245" xfId="1" applyNumberFormat="1" applyFont="1" applyFill="1" applyBorder="1" applyAlignment="1">
      <alignment horizontal="center" vertical="center"/>
    </xf>
    <xf numFmtId="0" fontId="17" fillId="11" borderId="245" xfId="1" applyFont="1" applyFill="1" applyBorder="1" applyAlignment="1">
      <alignment horizontal="center" vertical="center"/>
    </xf>
    <xf numFmtId="0" fontId="43" fillId="11" borderId="25" xfId="1" applyFont="1" applyFill="1" applyBorder="1" applyAlignment="1">
      <alignment horizontal="center" vertical="center"/>
    </xf>
    <xf numFmtId="0" fontId="43" fillId="12" borderId="33" xfId="1" applyFont="1" applyFill="1" applyBorder="1" applyAlignment="1">
      <alignment horizontal="center" vertical="center"/>
    </xf>
    <xf numFmtId="3" fontId="17" fillId="12" borderId="36" xfId="1" applyNumberFormat="1" applyFont="1" applyFill="1" applyBorder="1" applyAlignment="1">
      <alignment horizontal="center" vertical="center"/>
    </xf>
    <xf numFmtId="3" fontId="17" fillId="12" borderId="35" xfId="1" applyNumberFormat="1" applyFont="1" applyFill="1" applyBorder="1" applyAlignment="1">
      <alignment horizontal="center" vertical="center"/>
    </xf>
    <xf numFmtId="0" fontId="17" fillId="12" borderId="35" xfId="1" applyFont="1" applyFill="1" applyBorder="1" applyAlignment="1">
      <alignment horizontal="center" vertical="center"/>
    </xf>
    <xf numFmtId="3" fontId="17" fillId="12" borderId="35" xfId="1" applyNumberFormat="1" applyFont="1" applyFill="1" applyBorder="1" applyAlignment="1">
      <alignment horizontal="left" vertical="center"/>
    </xf>
    <xf numFmtId="172" fontId="17" fillId="12" borderId="35" xfId="1" applyNumberFormat="1" applyFont="1" applyFill="1" applyBorder="1" applyAlignment="1">
      <alignment horizontal="center" vertical="center"/>
    </xf>
    <xf numFmtId="14" fontId="17" fillId="12" borderId="35" xfId="1" applyNumberFormat="1" applyFont="1" applyFill="1" applyBorder="1" applyAlignment="1">
      <alignment horizontal="center" vertical="center"/>
    </xf>
    <xf numFmtId="2" fontId="38" fillId="11" borderId="37" xfId="1" applyNumberFormat="1" applyFont="1" applyFill="1" applyBorder="1" applyAlignment="1">
      <alignment horizontal="center" vertical="center"/>
    </xf>
    <xf numFmtId="0" fontId="45" fillId="4" borderId="46" xfId="1" applyFont="1" applyFill="1" applyBorder="1" applyAlignment="1">
      <alignment horizontal="center" vertical="center"/>
    </xf>
    <xf numFmtId="0" fontId="63" fillId="24" borderId="46" xfId="1" applyFont="1" applyFill="1" applyBorder="1" applyAlignment="1">
      <alignment horizontal="center" vertical="center"/>
    </xf>
    <xf numFmtId="0" fontId="63" fillId="43" borderId="46" xfId="1" applyFont="1" applyFill="1" applyBorder="1" applyAlignment="1">
      <alignment horizontal="center" vertical="center"/>
    </xf>
    <xf numFmtId="0" fontId="63" fillId="29" borderId="46" xfId="1" applyFont="1" applyFill="1" applyBorder="1" applyAlignment="1">
      <alignment horizontal="center" vertical="center"/>
    </xf>
    <xf numFmtId="0" fontId="63" fillId="0" borderId="0" xfId="1" applyFont="1" applyFill="1" applyBorder="1" applyAlignment="1">
      <alignment horizontal="center" vertical="center"/>
    </xf>
    <xf numFmtId="0" fontId="104" fillId="34" borderId="0" xfId="15" applyFont="1" applyFill="1" applyBorder="1" applyAlignment="1">
      <alignment horizontal="left" vertical="center"/>
    </xf>
    <xf numFmtId="0" fontId="73" fillId="35" borderId="0" xfId="1" applyFont="1" applyFill="1" applyBorder="1" applyAlignment="1">
      <alignment horizontal="left" vertical="center"/>
    </xf>
    <xf numFmtId="0" fontId="109" fillId="34" borderId="0" xfId="15" applyFont="1" applyFill="1" applyBorder="1" applyAlignment="1">
      <alignment horizontal="left" vertical="center"/>
    </xf>
    <xf numFmtId="0" fontId="109" fillId="35" borderId="0" xfId="15" applyFont="1" applyFill="1" applyBorder="1" applyAlignment="1">
      <alignment horizontal="left" vertical="center"/>
    </xf>
    <xf numFmtId="0" fontId="104" fillId="34" borderId="77" xfId="15" applyFont="1" applyFill="1" applyBorder="1" applyAlignment="1">
      <alignment horizontal="left" vertical="center"/>
    </xf>
    <xf numFmtId="0" fontId="111" fillId="3" borderId="0" xfId="15" applyFont="1" applyFill="1" applyBorder="1" applyAlignment="1">
      <alignment horizontal="left" vertical="center"/>
    </xf>
    <xf numFmtId="0" fontId="112" fillId="4" borderId="0" xfId="15" applyFont="1" applyFill="1" applyBorder="1" applyAlignment="1">
      <alignment horizontal="left" vertical="center"/>
    </xf>
    <xf numFmtId="0" fontId="104" fillId="4" borderId="0" xfId="15" applyFont="1" applyFill="1" applyBorder="1" applyAlignment="1">
      <alignment horizontal="left" vertical="center"/>
    </xf>
    <xf numFmtId="0" fontId="104" fillId="4" borderId="287" xfId="15" applyFont="1" applyFill="1" applyBorder="1" applyAlignment="1">
      <alignment horizontal="left" vertical="center"/>
    </xf>
    <xf numFmtId="0" fontId="104" fillId="4" borderId="4" xfId="15" applyFont="1" applyFill="1" applyBorder="1" applyAlignment="1">
      <alignment horizontal="left" vertical="center"/>
    </xf>
    <xf numFmtId="0" fontId="104" fillId="4" borderId="8" xfId="15" applyFont="1" applyFill="1" applyBorder="1" applyAlignment="1">
      <alignment horizontal="left" vertical="center"/>
    </xf>
    <xf numFmtId="0" fontId="104" fillId="24" borderId="0" xfId="15" applyFont="1" applyFill="1" applyBorder="1" applyAlignment="1">
      <alignment horizontal="left" vertical="center"/>
    </xf>
    <xf numFmtId="0" fontId="112" fillId="24" borderId="0" xfId="15" applyFont="1" applyFill="1" applyBorder="1" applyAlignment="1">
      <alignment horizontal="left" vertical="center"/>
    </xf>
    <xf numFmtId="0" fontId="73" fillId="24" borderId="0" xfId="1" applyFont="1" applyFill="1" applyBorder="1" applyAlignment="1">
      <alignment horizontal="left" vertical="center"/>
    </xf>
    <xf numFmtId="0" fontId="104" fillId="24" borderId="4" xfId="15" applyFont="1" applyFill="1" applyBorder="1" applyAlignment="1">
      <alignment horizontal="left" vertical="center"/>
    </xf>
    <xf numFmtId="0" fontId="104" fillId="24" borderId="337" xfId="15" applyFont="1" applyFill="1" applyBorder="1" applyAlignment="1">
      <alignment horizontal="left" vertical="center"/>
    </xf>
    <xf numFmtId="0" fontId="104" fillId="27" borderId="0" xfId="15" applyFont="1" applyFill="1" applyBorder="1" applyAlignment="1">
      <alignment horizontal="left" vertical="center"/>
    </xf>
    <xf numFmtId="0" fontId="104" fillId="25" borderId="337" xfId="15" applyFont="1" applyFill="1" applyBorder="1" applyAlignment="1">
      <alignment horizontal="left" vertical="center"/>
    </xf>
    <xf numFmtId="0" fontId="73" fillId="41" borderId="0" xfId="1" applyFont="1" applyFill="1" applyBorder="1" applyAlignment="1">
      <alignment horizontal="left" vertical="center"/>
    </xf>
    <xf numFmtId="0" fontId="104" fillId="25" borderId="0" xfId="15" applyFont="1" applyFill="1" applyBorder="1" applyAlignment="1">
      <alignment horizontal="left" vertical="center"/>
    </xf>
    <xf numFmtId="0" fontId="104" fillId="24" borderId="8" xfId="15" applyFont="1" applyFill="1" applyBorder="1" applyAlignment="1">
      <alignment horizontal="left" vertical="center"/>
    </xf>
    <xf numFmtId="0" fontId="104" fillId="26" borderId="0" xfId="15" applyFont="1" applyFill="1" applyBorder="1" applyAlignment="1">
      <alignment horizontal="left" vertical="center"/>
    </xf>
    <xf numFmtId="0" fontId="73" fillId="26" borderId="0" xfId="1" applyFont="1" applyFill="1" applyBorder="1" applyAlignment="1">
      <alignment horizontal="left" vertical="center"/>
    </xf>
    <xf numFmtId="0" fontId="104" fillId="25" borderId="4" xfId="15" applyFont="1" applyFill="1" applyBorder="1" applyAlignment="1">
      <alignment horizontal="left" vertical="center"/>
    </xf>
    <xf numFmtId="0" fontId="73" fillId="27" borderId="0" xfId="1" applyFont="1" applyFill="1" applyBorder="1" applyAlignment="1">
      <alignment horizontal="left" vertical="center"/>
    </xf>
    <xf numFmtId="0" fontId="73" fillId="25" borderId="0" xfId="1" applyFont="1" applyFill="1" applyBorder="1" applyAlignment="1">
      <alignment horizontal="left" vertical="center"/>
    </xf>
    <xf numFmtId="0" fontId="104" fillId="2" borderId="0" xfId="15" applyFont="1" applyFill="1" applyBorder="1" applyAlignment="1">
      <alignment horizontal="left" vertical="center"/>
    </xf>
    <xf numFmtId="0" fontId="104" fillId="35" borderId="0" xfId="15" applyFont="1" applyFill="1" applyBorder="1" applyAlignment="1">
      <alignment horizontal="left" vertical="center"/>
    </xf>
    <xf numFmtId="0" fontId="73" fillId="34" borderId="0" xfId="1" applyFont="1" applyFill="1" applyBorder="1" applyAlignment="1">
      <alignment horizontal="left" vertical="center"/>
    </xf>
    <xf numFmtId="0" fontId="104" fillId="34" borderId="8" xfId="15" applyFont="1" applyFill="1" applyBorder="1" applyAlignment="1">
      <alignment horizontal="left" vertical="center"/>
    </xf>
    <xf numFmtId="0" fontId="104" fillId="29" borderId="0" xfId="15" applyFont="1" applyFill="1" applyBorder="1" applyAlignment="1">
      <alignment horizontal="left" vertical="center"/>
    </xf>
    <xf numFmtId="0" fontId="109" fillId="29" borderId="0" xfId="15" applyFont="1" applyFill="1" applyBorder="1" applyAlignment="1">
      <alignment horizontal="left" vertical="center"/>
    </xf>
    <xf numFmtId="0" fontId="109" fillId="28" borderId="8" xfId="15" applyFont="1" applyFill="1" applyBorder="1" applyAlignment="1">
      <alignment horizontal="left" vertical="center"/>
    </xf>
    <xf numFmtId="0" fontId="104" fillId="29" borderId="8" xfId="15" applyFont="1" applyFill="1" applyBorder="1" applyAlignment="1">
      <alignment horizontal="left" vertical="center"/>
    </xf>
    <xf numFmtId="0" fontId="109" fillId="29" borderId="8" xfId="15" applyFont="1" applyFill="1" applyBorder="1" applyAlignment="1">
      <alignment horizontal="left" vertical="center"/>
    </xf>
    <xf numFmtId="0" fontId="73" fillId="12" borderId="0" xfId="1" applyFont="1" applyFill="1" applyBorder="1" applyAlignment="1">
      <alignment horizontal="left" vertical="center"/>
    </xf>
    <xf numFmtId="0" fontId="73" fillId="12" borderId="4" xfId="1" applyFont="1" applyFill="1" applyBorder="1" applyAlignment="1">
      <alignment horizontal="left" vertical="center"/>
    </xf>
    <xf numFmtId="0" fontId="104" fillId="10" borderId="0" xfId="15" applyFont="1" applyFill="1" applyBorder="1" applyAlignment="1">
      <alignment horizontal="left" vertical="center"/>
    </xf>
    <xf numFmtId="0" fontId="115" fillId="12" borderId="4" xfId="1" applyFont="1" applyFill="1" applyBorder="1" applyAlignment="1">
      <alignment horizontal="left" vertical="center"/>
    </xf>
    <xf numFmtId="0" fontId="104" fillId="11" borderId="0" xfId="15" applyFont="1" applyFill="1" applyBorder="1" applyAlignment="1">
      <alignment horizontal="left" vertical="center"/>
    </xf>
    <xf numFmtId="0" fontId="63" fillId="11" borderId="0" xfId="1" applyFont="1" applyFill="1" applyBorder="1" applyAlignment="1">
      <alignment horizontal="left" vertical="center"/>
    </xf>
    <xf numFmtId="0" fontId="73" fillId="11" borderId="0" xfId="1" applyFont="1" applyFill="1" applyBorder="1" applyAlignment="1">
      <alignment horizontal="left" vertical="center"/>
    </xf>
    <xf numFmtId="0" fontId="73" fillId="11" borderId="254" xfId="1" applyFont="1" applyFill="1" applyBorder="1" applyAlignment="1">
      <alignment horizontal="left" vertical="center"/>
    </xf>
    <xf numFmtId="0" fontId="73" fillId="12" borderId="8" xfId="1" applyFont="1" applyFill="1" applyBorder="1" applyAlignment="1">
      <alignment horizontal="left" vertical="center"/>
    </xf>
    <xf numFmtId="0" fontId="109" fillId="2" borderId="0" xfId="15" applyFont="1" applyFill="1" applyBorder="1" applyAlignment="1">
      <alignment horizontal="left" vertical="center"/>
    </xf>
    <xf numFmtId="0" fontId="115" fillId="12" borderId="254" xfId="1" applyFont="1" applyFill="1" applyBorder="1" applyAlignment="1">
      <alignment horizontal="left" vertical="center"/>
    </xf>
    <xf numFmtId="0" fontId="104" fillId="11" borderId="8" xfId="15" applyFont="1" applyFill="1" applyBorder="1" applyAlignment="1">
      <alignment horizontal="left" vertical="center"/>
    </xf>
    <xf numFmtId="0" fontId="115" fillId="13" borderId="247" xfId="1" applyFont="1" applyFill="1" applyBorder="1" applyAlignment="1">
      <alignment horizontal="left" vertical="center"/>
    </xf>
    <xf numFmtId="0" fontId="115" fillId="11" borderId="0" xfId="1" applyFont="1" applyFill="1" applyBorder="1" applyAlignment="1">
      <alignment horizontal="left" vertical="center"/>
    </xf>
    <xf numFmtId="0" fontId="73" fillId="14" borderId="0" xfId="1" applyFont="1" applyFill="1" applyBorder="1" applyAlignment="1">
      <alignment horizontal="left" vertical="center"/>
    </xf>
    <xf numFmtId="0" fontId="63" fillId="11" borderId="247" xfId="15" applyFont="1" applyFill="1" applyBorder="1" applyAlignment="1">
      <alignment horizontal="left" vertical="center"/>
    </xf>
    <xf numFmtId="0" fontId="63" fillId="11" borderId="247" xfId="1" applyFont="1" applyFill="1" applyBorder="1" applyAlignment="1">
      <alignment horizontal="left" vertical="center"/>
    </xf>
    <xf numFmtId="0" fontId="73" fillId="11" borderId="4" xfId="1" applyFont="1" applyFill="1" applyBorder="1" applyAlignment="1">
      <alignment horizontal="left" vertical="center"/>
    </xf>
    <xf numFmtId="0" fontId="63" fillId="2" borderId="371" xfId="15" applyFont="1" applyFill="1" applyBorder="1" applyAlignment="1">
      <alignment horizontal="left" vertical="center"/>
    </xf>
    <xf numFmtId="0" fontId="53" fillId="0" borderId="12" xfId="1" applyFont="1" applyFill="1" applyBorder="1" applyAlignment="1">
      <alignment horizontal="center" vertical="center"/>
    </xf>
    <xf numFmtId="0" fontId="53" fillId="0" borderId="0" xfId="1" applyFont="1" applyFill="1" applyBorder="1" applyAlignment="1">
      <alignment horizontal="center" vertical="center"/>
    </xf>
    <xf numFmtId="0" fontId="53" fillId="0" borderId="4" xfId="1" applyFont="1" applyFill="1" applyBorder="1" applyAlignment="1">
      <alignment horizontal="center" vertical="center"/>
    </xf>
    <xf numFmtId="0" fontId="63" fillId="4" borderId="0" xfId="1" applyFont="1" applyFill="1" applyBorder="1" applyAlignment="1">
      <alignment horizontal="left" vertical="center"/>
    </xf>
    <xf numFmtId="0" fontId="63" fillId="4" borderId="8" xfId="1" applyFont="1" applyFill="1" applyBorder="1" applyAlignment="1">
      <alignment horizontal="left" vertical="center"/>
    </xf>
    <xf numFmtId="0" fontId="82" fillId="0" borderId="0" xfId="15" applyNumberFormat="1" applyFont="1" applyFill="1" applyBorder="1" applyAlignment="1" applyProtection="1">
      <alignment horizontal="center" vertical="center"/>
    </xf>
    <xf numFmtId="0" fontId="34" fillId="0" borderId="13" xfId="1" applyFont="1" applyFill="1" applyBorder="1" applyAlignment="1">
      <alignment horizontal="center" vertical="center"/>
    </xf>
    <xf numFmtId="0" fontId="34" fillId="0" borderId="279" xfId="1" applyFont="1" applyFill="1" applyBorder="1" applyAlignment="1">
      <alignment horizontal="center" vertical="center"/>
    </xf>
    <xf numFmtId="0" fontId="34" fillId="0" borderId="102" xfId="1" applyFont="1" applyFill="1" applyBorder="1" applyAlignment="1">
      <alignment horizontal="center" vertical="center"/>
    </xf>
    <xf numFmtId="0" fontId="59" fillId="24" borderId="0" xfId="1" applyFont="1" applyFill="1" applyBorder="1" applyAlignment="1">
      <alignment horizontal="center" vertical="center"/>
    </xf>
    <xf numFmtId="0" fontId="59" fillId="24" borderId="0" xfId="1" applyFont="1" applyFill="1" applyBorder="1" applyAlignment="1">
      <alignment horizontal="center"/>
    </xf>
    <xf numFmtId="0" fontId="34" fillId="0" borderId="18" xfId="1" applyFont="1" applyFill="1" applyBorder="1" applyAlignment="1">
      <alignment horizontal="center" vertical="center"/>
    </xf>
    <xf numFmtId="0" fontId="59" fillId="4" borderId="0" xfId="1" applyFont="1" applyFill="1" applyBorder="1" applyAlignment="1">
      <alignment horizontal="center" vertical="center"/>
    </xf>
    <xf numFmtId="0" fontId="59" fillId="24" borderId="4" xfId="1" applyFont="1" applyFill="1" applyBorder="1" applyAlignment="1">
      <alignment horizontal="center" vertical="center"/>
    </xf>
    <xf numFmtId="3" fontId="58" fillId="0" borderId="0" xfId="1" applyNumberFormat="1" applyFont="1" applyFill="1" applyBorder="1" applyAlignment="1">
      <alignment horizontal="center"/>
    </xf>
    <xf numFmtId="0" fontId="45" fillId="0" borderId="0" xfId="1" applyFont="1" applyFill="1" applyBorder="1"/>
    <xf numFmtId="0" fontId="16" fillId="0" borderId="0" xfId="1" applyFont="1" applyFill="1" applyBorder="1"/>
    <xf numFmtId="0" fontId="45" fillId="48" borderId="46" xfId="1" applyFont="1" applyFill="1" applyBorder="1" applyAlignment="1">
      <alignment horizontal="center" vertical="center"/>
    </xf>
    <xf numFmtId="0" fontId="45" fillId="23" borderId="46" xfId="1" applyFont="1" applyFill="1" applyBorder="1" applyAlignment="1">
      <alignment horizontal="center" vertical="center"/>
    </xf>
    <xf numFmtId="0" fontId="45" fillId="49" borderId="46" xfId="1" applyFont="1" applyFill="1" applyBorder="1" applyAlignment="1">
      <alignment horizontal="center" vertical="center"/>
    </xf>
    <xf numFmtId="0" fontId="71" fillId="0" borderId="0" xfId="1" applyFont="1" applyFill="1" applyBorder="1"/>
    <xf numFmtId="0" fontId="119" fillId="0" borderId="0" xfId="1" applyFont="1" applyFill="1" applyBorder="1"/>
    <xf numFmtId="0" fontId="21" fillId="0" borderId="0" xfId="15" applyFont="1"/>
    <xf numFmtId="0" fontId="71" fillId="0" borderId="8" xfId="1" applyFont="1" applyFill="1" applyBorder="1"/>
    <xf numFmtId="0" fontId="17" fillId="0" borderId="8" xfId="1" applyFont="1" applyBorder="1"/>
    <xf numFmtId="0" fontId="45" fillId="0" borderId="0" xfId="1" applyFont="1" applyFill="1"/>
    <xf numFmtId="0" fontId="56" fillId="0" borderId="0" xfId="1" applyFont="1"/>
    <xf numFmtId="0" fontId="27" fillId="0" borderId="0" xfId="1" applyFont="1"/>
    <xf numFmtId="0" fontId="27" fillId="0" borderId="0" xfId="1" applyFont="1" applyAlignment="1">
      <alignment horizontal="right"/>
    </xf>
    <xf numFmtId="3" fontId="39" fillId="28" borderId="386" xfId="1" applyNumberFormat="1" applyFont="1" applyFill="1" applyBorder="1" applyAlignment="1">
      <alignment horizontal="center" vertical="center"/>
    </xf>
    <xf numFmtId="3" fontId="38" fillId="0" borderId="386" xfId="1" applyNumberFormat="1" applyFont="1" applyFill="1" applyBorder="1" applyAlignment="1">
      <alignment horizontal="center" vertical="center"/>
    </xf>
    <xf numFmtId="3" fontId="17" fillId="0" borderId="386" xfId="1" applyNumberFormat="1" applyFont="1" applyFill="1" applyBorder="1" applyAlignment="1">
      <alignment horizontal="center" vertical="center"/>
    </xf>
    <xf numFmtId="3" fontId="38" fillId="8" borderId="386" xfId="1" applyNumberFormat="1" applyFont="1" applyFill="1" applyBorder="1" applyAlignment="1">
      <alignment horizontal="center" vertical="center"/>
    </xf>
    <xf numFmtId="3" fontId="38" fillId="28" borderId="386" xfId="1" applyNumberFormat="1" applyFont="1" applyFill="1" applyBorder="1" applyAlignment="1">
      <alignment horizontal="left" vertical="center"/>
    </xf>
    <xf numFmtId="0" fontId="17" fillId="28" borderId="386" xfId="1" applyFont="1" applyFill="1" applyBorder="1" applyAlignment="1">
      <alignment horizontal="center" vertical="center"/>
    </xf>
    <xf numFmtId="172" fontId="38" fillId="28" borderId="386" xfId="1" applyNumberFormat="1" applyFont="1" applyFill="1" applyBorder="1" applyAlignment="1">
      <alignment horizontal="center" vertical="center"/>
    </xf>
    <xf numFmtId="14" fontId="38" fillId="28" borderId="386" xfId="1" applyNumberFormat="1" applyFont="1" applyFill="1" applyBorder="1" applyAlignment="1">
      <alignment horizontal="center" vertical="center"/>
    </xf>
    <xf numFmtId="2" fontId="38" fillId="29" borderId="387" xfId="1" applyNumberFormat="1" applyFont="1" applyFill="1" applyBorder="1" applyAlignment="1">
      <alignment horizontal="center" vertical="center"/>
    </xf>
    <xf numFmtId="0" fontId="109" fillId="28" borderId="0" xfId="15" applyFont="1" applyFill="1" applyBorder="1" applyAlignment="1">
      <alignment horizontal="left" vertical="center"/>
    </xf>
    <xf numFmtId="3" fontId="17" fillId="0" borderId="356" xfId="1" applyNumberFormat="1" applyFont="1" applyFill="1" applyBorder="1" applyAlignment="1">
      <alignment horizontal="center" vertical="center"/>
    </xf>
    <xf numFmtId="3" fontId="70" fillId="0" borderId="0" xfId="1" applyNumberFormat="1" applyFont="1" applyFill="1" applyBorder="1" applyAlignment="1">
      <alignment horizontal="center"/>
    </xf>
    <xf numFmtId="0" fontId="49" fillId="0" borderId="0" xfId="0" applyFont="1" applyAlignment="1">
      <alignment horizontal="center" vertical="center"/>
    </xf>
    <xf numFmtId="0" fontId="49" fillId="0" borderId="0" xfId="0" applyFont="1" applyAlignment="1">
      <alignment horizontal="center"/>
    </xf>
    <xf numFmtId="0" fontId="63" fillId="0" borderId="0" xfId="1" applyFont="1" applyAlignment="1">
      <alignment horizontal="center" vertical="center"/>
    </xf>
    <xf numFmtId="3" fontId="39" fillId="25" borderId="24" xfId="1" applyNumberFormat="1" applyFont="1" applyFill="1" applyBorder="1" applyAlignment="1">
      <alignment horizontal="center" vertical="center"/>
    </xf>
    <xf numFmtId="3" fontId="38" fillId="25" borderId="24" xfId="1" applyNumberFormat="1" applyFont="1" applyFill="1" applyBorder="1" applyAlignment="1">
      <alignment horizontal="left" vertical="center"/>
    </xf>
    <xf numFmtId="14" fontId="38" fillId="25" borderId="24" xfId="1" applyNumberFormat="1" applyFont="1" applyFill="1" applyBorder="1" applyAlignment="1">
      <alignment horizontal="center" vertical="center"/>
    </xf>
    <xf numFmtId="0" fontId="121" fillId="0" borderId="0" xfId="0" applyFont="1" applyAlignment="1">
      <alignment vertical="center"/>
    </xf>
    <xf numFmtId="3" fontId="21" fillId="0" borderId="0" xfId="15" applyNumberFormat="1" applyFont="1" applyFill="1" applyAlignment="1">
      <alignment horizontal="center" vertical="center"/>
    </xf>
    <xf numFmtId="0" fontId="21" fillId="0" borderId="0" xfId="15" applyNumberFormat="1" applyFont="1" applyFill="1" applyBorder="1" applyAlignment="1" applyProtection="1">
      <alignment horizontal="left" vertical="center"/>
    </xf>
    <xf numFmtId="0" fontId="21" fillId="0" borderId="371" xfId="15" applyNumberFormat="1" applyFont="1" applyFill="1" applyBorder="1" applyAlignment="1" applyProtection="1">
      <alignment horizontal="center" vertical="center"/>
    </xf>
    <xf numFmtId="3" fontId="122" fillId="0" borderId="0" xfId="1" applyNumberFormat="1" applyFont="1" applyFill="1" applyBorder="1" applyAlignment="1">
      <alignment horizontal="left" vertical="center"/>
    </xf>
    <xf numFmtId="0" fontId="108" fillId="0" borderId="0" xfId="1" applyFont="1" applyFill="1" applyBorder="1" applyAlignment="1">
      <alignment horizontal="left" vertical="center"/>
    </xf>
    <xf numFmtId="0" fontId="82" fillId="0" borderId="0" xfId="17" applyFont="1" applyFill="1" applyBorder="1"/>
    <xf numFmtId="0" fontId="123" fillId="0" borderId="0" xfId="1" applyFont="1" applyFill="1" applyBorder="1" applyAlignment="1">
      <alignment horizontal="left" vertical="center"/>
    </xf>
    <xf numFmtId="0" fontId="17" fillId="0" borderId="0" xfId="1" applyFont="1" applyFill="1" applyBorder="1" applyAlignment="1"/>
    <xf numFmtId="3" fontId="74" fillId="0" borderId="0" xfId="1" applyNumberFormat="1" applyFont="1" applyFill="1" applyBorder="1" applyAlignment="1">
      <alignment horizontal="left" vertical="center"/>
    </xf>
    <xf numFmtId="3" fontId="32" fillId="0" borderId="0" xfId="1" applyNumberFormat="1" applyFont="1" applyFill="1" applyBorder="1" applyAlignment="1">
      <alignment horizontal="left" vertical="center"/>
    </xf>
    <xf numFmtId="3" fontId="12" fillId="0" borderId="0" xfId="1" applyNumberFormat="1" applyFont="1" applyFill="1" applyBorder="1" applyAlignment="1">
      <alignment horizontal="center" vertical="center" wrapText="1"/>
    </xf>
    <xf numFmtId="166" fontId="13" fillId="0" borderId="0" xfId="1" applyNumberFormat="1" applyFont="1" applyFill="1" applyBorder="1" applyAlignment="1">
      <alignment horizontal="center" vertical="center"/>
    </xf>
    <xf numFmtId="0" fontId="23" fillId="0" borderId="0" xfId="1" applyFont="1" applyFill="1" applyBorder="1" applyAlignment="1">
      <alignment horizontal="center" vertical="center"/>
    </xf>
    <xf numFmtId="0" fontId="124" fillId="0" borderId="0" xfId="1" applyFont="1" applyFill="1" applyBorder="1" applyAlignment="1">
      <alignment horizontal="left" vertical="center"/>
    </xf>
    <xf numFmtId="169" fontId="14" fillId="0" borderId="0" xfId="1" applyNumberFormat="1" applyFont="1" applyFill="1" applyBorder="1" applyAlignment="1">
      <alignment horizontal="right" vertical="center"/>
    </xf>
    <xf numFmtId="3" fontId="73" fillId="0" borderId="0" xfId="1" applyNumberFormat="1" applyFont="1" applyFill="1" applyBorder="1" applyAlignment="1">
      <alignment horizontal="center" vertical="center"/>
    </xf>
    <xf numFmtId="0" fontId="125" fillId="0" borderId="0" xfId="1" applyFont="1" applyFill="1" applyBorder="1" applyAlignment="1">
      <alignment horizontal="center" vertical="center"/>
    </xf>
    <xf numFmtId="0" fontId="17" fillId="0" borderId="66" xfId="1" applyFont="1" applyFill="1" applyBorder="1"/>
    <xf numFmtId="0" fontId="73" fillId="0" borderId="0" xfId="1" applyFont="1" applyFill="1" applyBorder="1" applyAlignment="1">
      <alignment vertical="center"/>
    </xf>
    <xf numFmtId="0" fontId="119" fillId="0" borderId="0" xfId="1" applyFont="1" applyFill="1" applyBorder="1" applyAlignment="1">
      <alignment horizontal="center"/>
    </xf>
    <xf numFmtId="0" fontId="124" fillId="0" borderId="0" xfId="1" applyFont="1" applyFill="1" applyBorder="1" applyAlignment="1">
      <alignment vertical="center"/>
    </xf>
    <xf numFmtId="0" fontId="119" fillId="0" borderId="0" xfId="1" applyFont="1" applyFill="1" applyBorder="1" applyAlignment="1">
      <alignment horizontal="center" vertical="center"/>
    </xf>
    <xf numFmtId="0" fontId="63" fillId="0" borderId="0" xfId="1" applyFont="1" applyFill="1" applyBorder="1" applyAlignment="1">
      <alignment horizontal="left" vertical="center"/>
    </xf>
    <xf numFmtId="3" fontId="63" fillId="0" borderId="0" xfId="1" applyNumberFormat="1" applyFont="1" applyFill="1" applyBorder="1" applyAlignment="1">
      <alignment horizontal="center" vertical="center"/>
    </xf>
    <xf numFmtId="166" fontId="12" fillId="0" borderId="0" xfId="1" applyNumberFormat="1" applyFont="1" applyFill="1" applyBorder="1" applyAlignment="1">
      <alignment horizontal="center" vertical="center"/>
    </xf>
    <xf numFmtId="0" fontId="126" fillId="0" borderId="0" xfId="1" applyFont="1" applyFill="1" applyBorder="1" applyAlignment="1">
      <alignment horizontal="center" vertical="center"/>
    </xf>
    <xf numFmtId="0" fontId="127" fillId="0" borderId="0" xfId="1" applyFont="1" applyFill="1" applyBorder="1" applyAlignment="1">
      <alignment horizontal="center"/>
    </xf>
    <xf numFmtId="3" fontId="126" fillId="0" borderId="0" xfId="1" applyNumberFormat="1" applyFont="1" applyFill="1" applyBorder="1" applyAlignment="1">
      <alignment horizontal="center" vertical="center"/>
    </xf>
    <xf numFmtId="166" fontId="128" fillId="0" borderId="0" xfId="1" applyNumberFormat="1" applyFont="1" applyFill="1" applyBorder="1" applyAlignment="1">
      <alignment horizontal="center" vertical="center"/>
    </xf>
    <xf numFmtId="0" fontId="129" fillId="0" borderId="0" xfId="4" applyFont="1" applyFill="1" applyAlignment="1">
      <alignment horizontal="left"/>
    </xf>
    <xf numFmtId="0" fontId="130" fillId="0" borderId="0" xfId="4" applyFont="1" applyFill="1" applyAlignment="1">
      <alignment horizontal="left"/>
    </xf>
    <xf numFmtId="0" fontId="64" fillId="0" borderId="0" xfId="0" applyFont="1" applyAlignment="1">
      <alignment horizontal="left"/>
    </xf>
    <xf numFmtId="0" fontId="17" fillId="0" borderId="107" xfId="1" applyFont="1" applyFill="1" applyBorder="1"/>
    <xf numFmtId="0" fontId="108" fillId="0" borderId="107" xfId="1" applyFont="1" applyFill="1" applyBorder="1" applyAlignment="1">
      <alignment horizontal="left" vertical="center"/>
    </xf>
    <xf numFmtId="0" fontId="53" fillId="0" borderId="0" xfId="1" applyFont="1" applyFill="1" applyBorder="1" applyAlignment="1">
      <alignment horizontal="left" vertical="center"/>
    </xf>
    <xf numFmtId="3" fontId="74" fillId="0" borderId="0" xfId="1" applyNumberFormat="1" applyFont="1" applyFill="1" applyBorder="1" applyAlignment="1">
      <alignment horizontal="center" vertical="center"/>
    </xf>
    <xf numFmtId="3" fontId="39" fillId="4" borderId="244" xfId="1" applyNumberFormat="1" applyFont="1" applyFill="1" applyBorder="1" applyAlignment="1">
      <alignment horizontal="center" vertical="center"/>
    </xf>
    <xf numFmtId="3" fontId="39" fillId="4" borderId="243" xfId="1" applyNumberFormat="1" applyFont="1" applyFill="1" applyBorder="1" applyAlignment="1">
      <alignment horizontal="center" vertical="center"/>
    </xf>
    <xf numFmtId="3" fontId="17" fillId="0" borderId="275" xfId="1" applyNumberFormat="1" applyFont="1" applyFill="1" applyBorder="1" applyAlignment="1">
      <alignment horizontal="center" vertical="center"/>
    </xf>
    <xf numFmtId="0" fontId="11" fillId="0" borderId="388" xfId="1" applyFont="1" applyBorder="1" applyAlignment="1">
      <alignment horizontal="center" vertical="center"/>
    </xf>
    <xf numFmtId="0" fontId="23" fillId="35" borderId="32" xfId="1" applyFont="1" applyFill="1" applyBorder="1" applyAlignment="1">
      <alignment horizontal="center" vertical="center"/>
    </xf>
    <xf numFmtId="0" fontId="59" fillId="35" borderId="0" xfId="1" applyFont="1" applyFill="1" applyBorder="1" applyAlignment="1">
      <alignment horizontal="center" vertical="center"/>
    </xf>
    <xf numFmtId="3" fontId="17" fillId="4" borderId="345" xfId="1" applyNumberFormat="1" applyFont="1" applyFill="1" applyBorder="1" applyAlignment="1">
      <alignment horizontal="center" vertical="center"/>
    </xf>
    <xf numFmtId="3" fontId="17" fillId="4" borderId="30" xfId="1" applyNumberFormat="1" applyFont="1" applyFill="1" applyBorder="1" applyAlignment="1">
      <alignment horizontal="center" vertical="center"/>
    </xf>
    <xf numFmtId="3" fontId="38" fillId="25" borderId="72" xfId="1" applyNumberFormat="1" applyFont="1" applyFill="1" applyBorder="1" applyAlignment="1">
      <alignment horizontal="left" vertical="center"/>
    </xf>
    <xf numFmtId="172" fontId="38" fillId="25" borderId="72" xfId="1" applyNumberFormat="1" applyFont="1" applyFill="1" applyBorder="1" applyAlignment="1">
      <alignment horizontal="center" vertical="center"/>
    </xf>
    <xf numFmtId="14" fontId="38" fillId="25" borderId="72" xfId="1" applyNumberFormat="1" applyFont="1" applyFill="1" applyBorder="1" applyAlignment="1">
      <alignment horizontal="center" vertical="center"/>
    </xf>
    <xf numFmtId="0" fontId="103" fillId="0" borderId="114" xfId="1" applyFont="1" applyFill="1" applyBorder="1" applyAlignment="1">
      <alignment horizontal="center" vertical="center" wrapText="1"/>
    </xf>
    <xf numFmtId="3" fontId="38" fillId="4" borderId="331" xfId="1" applyNumberFormat="1" applyFont="1" applyFill="1" applyBorder="1" applyAlignment="1">
      <alignment horizontal="center" vertical="center"/>
    </xf>
    <xf numFmtId="0" fontId="17" fillId="4" borderId="331" xfId="1" applyFont="1" applyFill="1" applyBorder="1" applyAlignment="1">
      <alignment horizontal="center" vertical="center"/>
    </xf>
    <xf numFmtId="14" fontId="38" fillId="35" borderId="319" xfId="1" applyNumberFormat="1" applyFont="1" applyFill="1" applyBorder="1" applyAlignment="1">
      <alignment horizontal="center" vertical="center"/>
    </xf>
    <xf numFmtId="2" fontId="38" fillId="35" borderId="388" xfId="1" applyNumberFormat="1" applyFont="1" applyFill="1" applyBorder="1" applyAlignment="1">
      <alignment horizontal="center" vertical="center"/>
    </xf>
    <xf numFmtId="2" fontId="38" fillId="24" borderId="307" xfId="1" applyNumberFormat="1" applyFont="1" applyFill="1" applyBorder="1" applyAlignment="1">
      <alignment horizontal="center" vertical="center"/>
    </xf>
    <xf numFmtId="3" fontId="17" fillId="25" borderId="332" xfId="1" applyNumberFormat="1" applyFont="1" applyFill="1" applyBorder="1" applyAlignment="1">
      <alignment horizontal="center" vertical="center"/>
    </xf>
    <xf numFmtId="3" fontId="17" fillId="0" borderId="401" xfId="1" applyNumberFormat="1" applyFont="1" applyBorder="1" applyAlignment="1">
      <alignment horizontal="center" vertical="center"/>
    </xf>
    <xf numFmtId="3" fontId="45" fillId="0" borderId="96" xfId="1" applyNumberFormat="1" applyFont="1" applyFill="1" applyBorder="1" applyAlignment="1">
      <alignment horizontal="center" vertical="center"/>
    </xf>
    <xf numFmtId="0" fontId="59" fillId="0" borderId="208" xfId="1" applyFont="1" applyFill="1" applyBorder="1" applyAlignment="1">
      <alignment horizontal="center" vertical="center"/>
    </xf>
    <xf numFmtId="0" fontId="59" fillId="0" borderId="402" xfId="1" applyFont="1" applyFill="1" applyBorder="1" applyAlignment="1">
      <alignment horizontal="center" vertical="center"/>
    </xf>
    <xf numFmtId="3" fontId="45" fillId="0" borderId="406" xfId="1" applyNumberFormat="1" applyFont="1" applyFill="1" applyBorder="1" applyAlignment="1">
      <alignment horizontal="center" vertical="center"/>
    </xf>
    <xf numFmtId="3" fontId="45" fillId="0" borderId="404" xfId="1" applyNumberFormat="1" applyFont="1" applyFill="1" applyBorder="1" applyAlignment="1">
      <alignment horizontal="center" vertical="center"/>
    </xf>
    <xf numFmtId="3" fontId="45" fillId="0" borderId="405" xfId="1" applyNumberFormat="1" applyFont="1" applyFill="1" applyBorder="1" applyAlignment="1">
      <alignment horizontal="center" vertical="center"/>
    </xf>
    <xf numFmtId="3" fontId="45" fillId="0" borderId="399" xfId="1" applyNumberFormat="1" applyFont="1" applyFill="1" applyBorder="1" applyAlignment="1">
      <alignment horizontal="center" vertical="center"/>
    </xf>
    <xf numFmtId="0" fontId="83" fillId="0" borderId="118" xfId="15" applyFont="1" applyFill="1" applyBorder="1" applyAlignment="1">
      <alignment vertical="center"/>
    </xf>
    <xf numFmtId="0" fontId="44" fillId="0" borderId="118" xfId="1" applyFont="1" applyFill="1" applyBorder="1" applyAlignment="1">
      <alignment horizontal="left" vertical="center"/>
    </xf>
    <xf numFmtId="0" fontId="64" fillId="0" borderId="118" xfId="0" applyFont="1" applyBorder="1" applyAlignment="1">
      <alignment vertical="center"/>
    </xf>
    <xf numFmtId="0" fontId="84" fillId="0" borderId="118" xfId="15" applyFont="1" applyFill="1" applyBorder="1" applyAlignment="1">
      <alignment horizontal="left" vertical="center"/>
    </xf>
    <xf numFmtId="0" fontId="82" fillId="0" borderId="210" xfId="15" applyFont="1" applyFill="1" applyBorder="1" applyAlignment="1">
      <alignment horizontal="left" vertical="center"/>
    </xf>
    <xf numFmtId="0" fontId="82" fillId="0" borderId="302" xfId="15" applyFont="1" applyFill="1" applyBorder="1" applyAlignment="1">
      <alignment horizontal="left" vertical="center"/>
    </xf>
    <xf numFmtId="0" fontId="82" fillId="0" borderId="295" xfId="15" applyFont="1" applyFill="1" applyBorder="1" applyAlignment="1">
      <alignment horizontal="left" vertical="center"/>
    </xf>
    <xf numFmtId="3" fontId="45" fillId="0" borderId="402" xfId="1" applyNumberFormat="1" applyFont="1" applyFill="1" applyBorder="1" applyAlignment="1">
      <alignment horizontal="center" vertical="center"/>
    </xf>
    <xf numFmtId="3" fontId="45" fillId="0" borderId="403" xfId="1" applyNumberFormat="1" applyFont="1" applyFill="1" applyBorder="1" applyAlignment="1">
      <alignment horizontal="center" vertical="center"/>
    </xf>
    <xf numFmtId="3" fontId="45" fillId="0" borderId="400" xfId="1" applyNumberFormat="1" applyFont="1" applyFill="1" applyBorder="1" applyAlignment="1">
      <alignment horizontal="center" vertical="center"/>
    </xf>
    <xf numFmtId="3" fontId="45" fillId="0" borderId="398" xfId="1" applyNumberFormat="1" applyFont="1" applyFill="1" applyBorder="1" applyAlignment="1">
      <alignment horizontal="center" vertical="center"/>
    </xf>
    <xf numFmtId="3" fontId="45" fillId="0" borderId="407" xfId="1" applyNumberFormat="1" applyFont="1" applyFill="1" applyBorder="1" applyAlignment="1">
      <alignment horizontal="center" vertical="center"/>
    </xf>
    <xf numFmtId="3" fontId="45" fillId="0" borderId="408" xfId="1" applyNumberFormat="1" applyFont="1" applyFill="1" applyBorder="1" applyAlignment="1">
      <alignment horizontal="center" vertical="center"/>
    </xf>
    <xf numFmtId="3" fontId="35" fillId="3" borderId="367" xfId="1" applyNumberFormat="1" applyFont="1" applyFill="1" applyBorder="1" applyAlignment="1">
      <alignment horizontal="center" vertical="center"/>
    </xf>
    <xf numFmtId="0" fontId="59" fillId="0" borderId="406" xfId="1" applyFont="1" applyFill="1" applyBorder="1" applyAlignment="1">
      <alignment horizontal="center" vertical="center"/>
    </xf>
    <xf numFmtId="0" fontId="59" fillId="0" borderId="411" xfId="1" applyFont="1" applyFill="1" applyBorder="1" applyAlignment="1">
      <alignment horizontal="center" vertical="center"/>
    </xf>
    <xf numFmtId="0" fontId="69" fillId="0" borderId="406" xfId="1" applyFont="1" applyFill="1" applyBorder="1" applyAlignment="1">
      <alignment horizontal="left" vertical="center"/>
    </xf>
    <xf numFmtId="0" fontId="82" fillId="0" borderId="412" xfId="15" applyFont="1" applyFill="1" applyBorder="1" applyAlignment="1">
      <alignment horizontal="left" vertical="center"/>
    </xf>
    <xf numFmtId="0" fontId="45" fillId="0" borderId="406" xfId="1" applyFont="1" applyFill="1" applyBorder="1" applyAlignment="1">
      <alignment horizontal="left" vertical="center"/>
    </xf>
    <xf numFmtId="0" fontId="45" fillId="0" borderId="406" xfId="1" applyFont="1" applyFill="1" applyBorder="1" applyAlignment="1">
      <alignment vertical="center"/>
    </xf>
    <xf numFmtId="0" fontId="82" fillId="0" borderId="404" xfId="15" applyFont="1" applyFill="1" applyBorder="1" applyAlignment="1">
      <alignment horizontal="left" vertical="center"/>
    </xf>
    <xf numFmtId="3" fontId="45" fillId="0" borderId="382" xfId="1" applyNumberFormat="1" applyFont="1" applyFill="1" applyBorder="1" applyAlignment="1">
      <alignment horizontal="center" vertical="center"/>
    </xf>
    <xf numFmtId="169" fontId="17" fillId="0" borderId="407" xfId="1" applyNumberFormat="1" applyFont="1" applyFill="1" applyBorder="1" applyAlignment="1">
      <alignment horizontal="right" vertical="center"/>
    </xf>
    <xf numFmtId="169" fontId="17" fillId="0" borderId="204" xfId="1" applyNumberFormat="1" applyFont="1" applyFill="1" applyBorder="1" applyAlignment="1">
      <alignment horizontal="right" vertical="center"/>
    </xf>
    <xf numFmtId="0" fontId="46" fillId="0" borderId="208" xfId="1" applyFont="1" applyFill="1" applyBorder="1" applyAlignment="1">
      <alignment horizontal="center" vertical="center"/>
    </xf>
    <xf numFmtId="0" fontId="45" fillId="0" borderId="208" xfId="1" applyFont="1" applyFill="1" applyBorder="1" applyAlignment="1">
      <alignment horizontal="left" vertical="center"/>
    </xf>
    <xf numFmtId="3" fontId="45" fillId="0" borderId="406" xfId="1" applyNumberFormat="1" applyFont="1" applyFill="1" applyBorder="1" applyAlignment="1">
      <alignment horizontal="left" vertical="center"/>
    </xf>
    <xf numFmtId="0" fontId="69" fillId="0" borderId="208" xfId="1" applyFont="1" applyFill="1" applyBorder="1" applyAlignment="1">
      <alignment horizontal="left" vertical="center"/>
    </xf>
    <xf numFmtId="0" fontId="45" fillId="0" borderId="208" xfId="1" applyFont="1" applyFill="1" applyBorder="1" applyAlignment="1">
      <alignment vertical="center"/>
    </xf>
    <xf numFmtId="0" fontId="82" fillId="0" borderId="198" xfId="15" applyFont="1" applyFill="1" applyBorder="1" applyAlignment="1">
      <alignment horizontal="left" vertical="center"/>
    </xf>
    <xf numFmtId="3" fontId="45" fillId="0" borderId="208" xfId="1" applyNumberFormat="1" applyFont="1" applyFill="1" applyBorder="1" applyAlignment="1">
      <alignment horizontal="left" vertical="center"/>
    </xf>
    <xf numFmtId="169" fontId="17" fillId="0" borderId="349" xfId="1" applyNumberFormat="1" applyFont="1" applyFill="1" applyBorder="1" applyAlignment="1">
      <alignment horizontal="right" vertical="center"/>
    </xf>
    <xf numFmtId="0" fontId="69" fillId="0" borderId="158" xfId="1" applyFont="1" applyFill="1" applyBorder="1" applyAlignment="1">
      <alignment horizontal="left" vertical="center"/>
    </xf>
    <xf numFmtId="3" fontId="45" fillId="0" borderId="143" xfId="1" applyNumberFormat="1" applyFont="1" applyFill="1" applyBorder="1" applyAlignment="1">
      <alignment horizontal="left" vertical="center"/>
    </xf>
    <xf numFmtId="0" fontId="45" fillId="0" borderId="383" xfId="1" applyFont="1" applyFill="1" applyBorder="1" applyAlignment="1">
      <alignment horizontal="left" vertical="center"/>
    </xf>
    <xf numFmtId="169" fontId="17" fillId="0" borderId="365" xfId="1" applyNumberFormat="1" applyFont="1" applyFill="1" applyBorder="1" applyAlignment="1">
      <alignment horizontal="right" vertical="center"/>
    </xf>
    <xf numFmtId="3" fontId="45" fillId="0" borderId="108" xfId="1" applyNumberFormat="1" applyFont="1" applyFill="1" applyBorder="1" applyAlignment="1">
      <alignment horizontal="center" vertical="center"/>
    </xf>
    <xf numFmtId="3" fontId="45" fillId="0" borderId="413" xfId="1" applyNumberFormat="1" applyFont="1" applyFill="1" applyBorder="1" applyAlignment="1">
      <alignment horizontal="center" vertical="center"/>
    </xf>
    <xf numFmtId="0" fontId="82" fillId="0" borderId="414" xfId="15" applyFont="1" applyFill="1" applyBorder="1" applyAlignment="1">
      <alignment horizontal="left" vertical="center"/>
    </xf>
    <xf numFmtId="3" fontId="45" fillId="0" borderId="6" xfId="15" applyNumberFormat="1" applyFont="1" applyFill="1" applyBorder="1" applyAlignment="1">
      <alignment horizontal="center" vertical="center"/>
    </xf>
    <xf numFmtId="0" fontId="45" fillId="0" borderId="199" xfId="15" applyFont="1" applyFill="1" applyBorder="1" applyAlignment="1">
      <alignment horizontal="left" vertical="center"/>
    </xf>
    <xf numFmtId="3" fontId="39" fillId="25" borderId="72" xfId="1" applyNumberFormat="1" applyFont="1" applyFill="1" applyBorder="1" applyAlignment="1">
      <alignment horizontal="center" vertical="center"/>
    </xf>
    <xf numFmtId="3" fontId="38" fillId="28" borderId="386" xfId="1" applyNumberFormat="1" applyFont="1" applyFill="1" applyBorder="1" applyAlignment="1">
      <alignment horizontal="center" vertical="center"/>
    </xf>
    <xf numFmtId="0" fontId="17" fillId="27" borderId="331" xfId="1" applyFont="1" applyFill="1" applyBorder="1" applyAlignment="1">
      <alignment horizontal="center" vertical="center"/>
    </xf>
    <xf numFmtId="14" fontId="38" fillId="27" borderId="331" xfId="1" applyNumberFormat="1" applyFont="1" applyFill="1" applyBorder="1" applyAlignment="1">
      <alignment horizontal="center" vertical="center"/>
    </xf>
    <xf numFmtId="0" fontId="43" fillId="4" borderId="25" xfId="1" applyFont="1" applyFill="1" applyBorder="1" applyAlignment="1">
      <alignment horizontal="center" vertical="center"/>
    </xf>
    <xf numFmtId="0" fontId="104" fillId="4" borderId="362" xfId="15" applyFont="1" applyFill="1" applyBorder="1" applyAlignment="1">
      <alignment horizontal="left" vertical="center"/>
    </xf>
    <xf numFmtId="0" fontId="59" fillId="24" borderId="8" xfId="1" applyFont="1" applyFill="1" applyBorder="1" applyAlignment="1">
      <alignment horizontal="center" vertical="center"/>
    </xf>
    <xf numFmtId="0" fontId="59" fillId="4" borderId="0" xfId="1" applyFont="1" applyFill="1" applyBorder="1" applyAlignment="1">
      <alignment horizontal="center"/>
    </xf>
    <xf numFmtId="3" fontId="17" fillId="27" borderId="326" xfId="1" applyNumberFormat="1" applyFont="1" applyFill="1" applyBorder="1" applyAlignment="1">
      <alignment horizontal="center" vertical="center"/>
    </xf>
    <xf numFmtId="3" fontId="39" fillId="35" borderId="245" xfId="1" applyNumberFormat="1" applyFont="1" applyFill="1" applyBorder="1" applyAlignment="1">
      <alignment horizontal="center" vertical="center"/>
    </xf>
    <xf numFmtId="0" fontId="17" fillId="25" borderId="72" xfId="1" applyFont="1" applyFill="1" applyBorder="1" applyAlignment="1">
      <alignment horizontal="center" vertical="center"/>
    </xf>
    <xf numFmtId="0" fontId="23" fillId="4" borderId="419" xfId="1" applyFont="1" applyFill="1" applyBorder="1" applyAlignment="1">
      <alignment horizontal="center" vertical="center"/>
    </xf>
    <xf numFmtId="3" fontId="17" fillId="0" borderId="366" xfId="1" applyNumberFormat="1" applyFont="1" applyFill="1" applyBorder="1" applyAlignment="1">
      <alignment horizontal="center" vertical="center"/>
    </xf>
    <xf numFmtId="0" fontId="109" fillId="34" borderId="8" xfId="15" applyFont="1" applyFill="1" applyBorder="1" applyAlignment="1">
      <alignment horizontal="left" vertical="center"/>
    </xf>
    <xf numFmtId="0" fontId="17" fillId="25" borderId="24" xfId="1" applyFont="1" applyFill="1" applyBorder="1" applyAlignment="1">
      <alignment horizontal="center" vertical="center"/>
    </xf>
    <xf numFmtId="3" fontId="63" fillId="0" borderId="386" xfId="1" applyNumberFormat="1" applyFont="1" applyFill="1" applyBorder="1" applyAlignment="1">
      <alignment horizontal="center" vertical="center"/>
    </xf>
    <xf numFmtId="0" fontId="104" fillId="34" borderId="4" xfId="15" applyFont="1" applyFill="1" applyBorder="1" applyAlignment="1">
      <alignment horizontal="left" vertical="center"/>
    </xf>
    <xf numFmtId="0" fontId="109" fillId="35" borderId="8" xfId="15" applyFont="1" applyFill="1" applyBorder="1" applyAlignment="1">
      <alignment horizontal="left" vertical="center"/>
    </xf>
    <xf numFmtId="0" fontId="104" fillId="35" borderId="8" xfId="15" applyFont="1" applyFill="1" applyBorder="1" applyAlignment="1">
      <alignment horizontal="left" vertical="center"/>
    </xf>
    <xf numFmtId="3" fontId="17" fillId="4" borderId="272" xfId="1" applyNumberFormat="1" applyFont="1" applyFill="1" applyBorder="1" applyAlignment="1">
      <alignment horizontal="center" vertical="center"/>
    </xf>
    <xf numFmtId="3" fontId="38" fillId="4" borderId="275" xfId="1" applyNumberFormat="1" applyFont="1" applyFill="1" applyBorder="1" applyAlignment="1">
      <alignment horizontal="left" vertical="center"/>
    </xf>
    <xf numFmtId="0" fontId="17" fillId="4" borderId="275" xfId="1" applyFont="1" applyFill="1" applyBorder="1" applyAlignment="1">
      <alignment horizontal="center" vertical="center"/>
    </xf>
    <xf numFmtId="172" fontId="38" fillId="4" borderId="275" xfId="1" applyNumberFormat="1" applyFont="1" applyFill="1" applyBorder="1" applyAlignment="1">
      <alignment horizontal="center" vertical="center"/>
    </xf>
    <xf numFmtId="14" fontId="38" fillId="4" borderId="275" xfId="1" applyNumberFormat="1" applyFont="1" applyFill="1" applyBorder="1" applyAlignment="1">
      <alignment horizontal="center" vertical="center"/>
    </xf>
    <xf numFmtId="0" fontId="82" fillId="0" borderId="408" xfId="15" applyFont="1" applyFill="1" applyBorder="1" applyAlignment="1">
      <alignment horizontal="left" vertical="center"/>
    </xf>
    <xf numFmtId="3" fontId="45" fillId="0" borderId="420" xfId="1" applyNumberFormat="1" applyFont="1" applyFill="1" applyBorder="1" applyAlignment="1">
      <alignment horizontal="center" vertical="center"/>
    </xf>
    <xf numFmtId="0" fontId="82" fillId="0" borderId="5" xfId="15" applyFont="1" applyFill="1" applyBorder="1" applyAlignment="1">
      <alignment vertical="center"/>
    </xf>
    <xf numFmtId="3" fontId="39" fillId="52" borderId="244" xfId="1" applyNumberFormat="1" applyFont="1" applyFill="1" applyBorder="1" applyAlignment="1">
      <alignment horizontal="center" vertical="center"/>
    </xf>
    <xf numFmtId="14" fontId="17" fillId="4" borderId="261" xfId="1" applyNumberFormat="1" applyFont="1" applyFill="1" applyBorder="1" applyAlignment="1">
      <alignment horizontal="center" vertical="center"/>
    </xf>
    <xf numFmtId="3" fontId="45" fillId="0" borderId="421" xfId="1" applyNumberFormat="1" applyFont="1" applyFill="1" applyBorder="1" applyAlignment="1">
      <alignment horizontal="center" vertical="center"/>
    </xf>
    <xf numFmtId="0" fontId="109" fillId="34" borderId="77" xfId="15" applyFont="1" applyFill="1" applyBorder="1" applyAlignment="1">
      <alignment horizontal="left" vertical="center"/>
    </xf>
    <xf numFmtId="3" fontId="17" fillId="0" borderId="291" xfId="1" applyNumberFormat="1" applyFont="1" applyFill="1" applyBorder="1" applyAlignment="1">
      <alignment horizontal="center" vertical="center"/>
    </xf>
    <xf numFmtId="3" fontId="38" fillId="24" borderId="283" xfId="1" applyNumberFormat="1" applyFont="1" applyFill="1" applyBorder="1" applyAlignment="1">
      <alignment horizontal="left" vertical="center"/>
    </xf>
    <xf numFmtId="3" fontId="38" fillId="4" borderId="64" xfId="1" applyNumberFormat="1" applyFont="1" applyFill="1" applyBorder="1" applyAlignment="1">
      <alignment horizontal="center" vertical="center"/>
    </xf>
    <xf numFmtId="172" fontId="38" fillId="24" borderId="283" xfId="1" applyNumberFormat="1" applyFont="1" applyFill="1" applyBorder="1" applyAlignment="1">
      <alignment horizontal="center" vertical="center"/>
    </xf>
    <xf numFmtId="14" fontId="38" fillId="24" borderId="283" xfId="1" applyNumberFormat="1" applyFont="1" applyFill="1" applyBorder="1" applyAlignment="1">
      <alignment horizontal="center" vertical="center"/>
    </xf>
    <xf numFmtId="2" fontId="38" fillId="4" borderId="183" xfId="1" applyNumberFormat="1" applyFont="1" applyFill="1" applyBorder="1" applyAlignment="1">
      <alignment horizontal="center" vertical="center"/>
    </xf>
    <xf numFmtId="3" fontId="38" fillId="35" borderId="367" xfId="1" applyNumberFormat="1" applyFont="1" applyFill="1" applyBorder="1" applyAlignment="1">
      <alignment horizontal="left" vertical="center"/>
    </xf>
    <xf numFmtId="0" fontId="17" fillId="35" borderId="367" xfId="1" applyFont="1" applyFill="1" applyBorder="1" applyAlignment="1">
      <alignment horizontal="center" vertical="center"/>
    </xf>
    <xf numFmtId="172" fontId="38" fillId="35" borderId="367" xfId="1" applyNumberFormat="1" applyFont="1" applyFill="1" applyBorder="1" applyAlignment="1">
      <alignment horizontal="center" vertical="center"/>
    </xf>
    <xf numFmtId="0" fontId="45" fillId="0" borderId="0" xfId="15" applyFont="1" applyFill="1" applyBorder="1" applyAlignment="1">
      <alignment horizontal="left" vertical="center"/>
    </xf>
    <xf numFmtId="3" fontId="45" fillId="0" borderId="0" xfId="15" applyNumberFormat="1" applyFont="1" applyFill="1" applyBorder="1" applyAlignment="1">
      <alignment horizontal="center" vertical="center"/>
    </xf>
    <xf numFmtId="0" fontId="45" fillId="0" borderId="8" xfId="1" applyFont="1" applyFill="1" applyBorder="1" applyAlignment="1">
      <alignment horizontal="left" vertical="center"/>
    </xf>
    <xf numFmtId="0" fontId="104" fillId="0" borderId="0" xfId="15" applyFont="1" applyFill="1" applyBorder="1" applyAlignment="1">
      <alignment horizontal="left" vertical="center"/>
    </xf>
    <xf numFmtId="0" fontId="82" fillId="0" borderId="197" xfId="15" applyFont="1" applyFill="1" applyBorder="1" applyAlignment="1">
      <alignment horizontal="left" vertical="center"/>
    </xf>
    <xf numFmtId="0" fontId="48" fillId="0" borderId="214" xfId="1" applyFont="1" applyFill="1" applyBorder="1" applyAlignment="1">
      <alignment vertical="center"/>
    </xf>
    <xf numFmtId="0" fontId="82" fillId="0" borderId="163" xfId="15" applyFont="1" applyFill="1" applyBorder="1" applyAlignment="1">
      <alignment vertical="center"/>
    </xf>
    <xf numFmtId="0" fontId="82" fillId="0" borderId="199" xfId="15" applyFont="1" applyFill="1" applyBorder="1" applyAlignment="1">
      <alignment vertical="center"/>
    </xf>
    <xf numFmtId="0" fontId="45" fillId="0" borderId="59" xfId="1" applyFont="1" applyFill="1" applyBorder="1" applyAlignment="1">
      <alignment horizontal="left" vertical="center"/>
    </xf>
    <xf numFmtId="0" fontId="133" fillId="0" borderId="0" xfId="15" applyFont="1" applyFill="1" applyBorder="1" applyAlignment="1">
      <alignment horizontal="left" vertical="center"/>
    </xf>
    <xf numFmtId="0" fontId="46" fillId="0" borderId="0" xfId="1" applyFont="1" applyFill="1" applyBorder="1" applyAlignment="1">
      <alignment horizontal="center" vertical="center"/>
    </xf>
    <xf numFmtId="0" fontId="59" fillId="0" borderId="313" xfId="1" applyFont="1" applyFill="1" applyBorder="1" applyAlignment="1">
      <alignment horizontal="center" vertical="center"/>
    </xf>
    <xf numFmtId="169" fontId="17" fillId="0" borderId="422" xfId="1" applyNumberFormat="1" applyFont="1" applyFill="1" applyBorder="1" applyAlignment="1">
      <alignment vertical="center"/>
    </xf>
    <xf numFmtId="3" fontId="46" fillId="0" borderId="212" xfId="1" applyNumberFormat="1" applyFont="1" applyFill="1" applyBorder="1" applyAlignment="1">
      <alignment horizontal="center" vertical="center"/>
    </xf>
    <xf numFmtId="0" fontId="82" fillId="0" borderId="218" xfId="15" applyFont="1" applyFill="1" applyBorder="1" applyAlignment="1">
      <alignment horizontal="left" vertical="center"/>
    </xf>
    <xf numFmtId="0" fontId="82" fillId="0" borderId="201" xfId="15" applyFont="1" applyFill="1" applyBorder="1" applyAlignment="1">
      <alignment horizontal="left" vertical="center"/>
    </xf>
    <xf numFmtId="0" fontId="86" fillId="0" borderId="218" xfId="1" applyFont="1" applyFill="1" applyBorder="1" applyAlignment="1">
      <alignment horizontal="left" vertical="center"/>
    </xf>
    <xf numFmtId="0" fontId="45" fillId="0" borderId="369" xfId="1" applyFont="1" applyFill="1" applyBorder="1" applyAlignment="1">
      <alignment vertical="center"/>
    </xf>
    <xf numFmtId="0" fontId="82" fillId="0" borderId="296" xfId="15" applyFont="1" applyFill="1" applyBorder="1" applyAlignment="1">
      <alignment horizontal="left" vertical="center"/>
    </xf>
    <xf numFmtId="0" fontId="45" fillId="0" borderId="213" xfId="1" applyFont="1" applyFill="1" applyBorder="1" applyAlignment="1">
      <alignment horizontal="left" vertical="center"/>
    </xf>
    <xf numFmtId="0" fontId="69" fillId="0" borderId="411" xfId="1" applyFont="1" applyFill="1" applyBorder="1" applyAlignment="1">
      <alignment horizontal="left" vertical="center"/>
    </xf>
    <xf numFmtId="169" fontId="38" fillId="0" borderId="368" xfId="1" applyNumberFormat="1" applyFont="1" applyFill="1" applyBorder="1" applyAlignment="1">
      <alignment horizontal="right" vertical="center"/>
    </xf>
    <xf numFmtId="0" fontId="48" fillId="0" borderId="213" xfId="1" applyFont="1" applyFill="1" applyBorder="1" applyAlignment="1">
      <alignment horizontal="left" vertical="center"/>
    </xf>
    <xf numFmtId="0" fontId="58" fillId="0" borderId="351" xfId="1" applyFont="1" applyFill="1" applyBorder="1" applyAlignment="1">
      <alignment horizontal="center" vertical="center"/>
    </xf>
    <xf numFmtId="0" fontId="45" fillId="0" borderId="212" xfId="1" applyFont="1" applyFill="1" applyBorder="1" applyAlignment="1">
      <alignment horizontal="left" vertical="center"/>
    </xf>
    <xf numFmtId="3" fontId="69" fillId="0" borderId="212" xfId="1" applyNumberFormat="1" applyFont="1" applyFill="1" applyBorder="1" applyAlignment="1">
      <alignment horizontal="center" vertical="center"/>
    </xf>
    <xf numFmtId="0" fontId="45" fillId="0" borderId="212" xfId="1" applyFont="1" applyFill="1" applyBorder="1" applyAlignment="1">
      <alignment vertical="center"/>
    </xf>
    <xf numFmtId="3" fontId="45" fillId="0" borderId="204" xfId="1" applyNumberFormat="1" applyFont="1" applyFill="1" applyBorder="1" applyAlignment="1">
      <alignment horizontal="center" vertical="center"/>
    </xf>
    <xf numFmtId="3" fontId="45" fillId="0" borderId="212" xfId="1" applyNumberFormat="1" applyFont="1" applyFill="1" applyBorder="1" applyAlignment="1">
      <alignment horizontal="left" vertical="center"/>
    </xf>
    <xf numFmtId="169" fontId="17" fillId="0" borderId="97" xfId="1" applyNumberFormat="1" applyFont="1" applyFill="1" applyBorder="1" applyAlignment="1">
      <alignment horizontal="right" vertical="center"/>
    </xf>
    <xf numFmtId="0" fontId="59" fillId="0" borderId="212" xfId="1" applyFont="1" applyFill="1" applyBorder="1" applyAlignment="1">
      <alignment horizontal="center" vertical="center"/>
    </xf>
    <xf numFmtId="169" fontId="17" fillId="0" borderId="212" xfId="1" applyNumberFormat="1" applyFont="1" applyFill="1" applyBorder="1" applyAlignment="1">
      <alignment horizontal="right" vertical="center"/>
    </xf>
    <xf numFmtId="0" fontId="69" fillId="0" borderId="213" xfId="1" applyFont="1" applyFill="1" applyBorder="1" applyAlignment="1">
      <alignment horizontal="left" vertical="center"/>
    </xf>
    <xf numFmtId="0" fontId="59" fillId="0" borderId="356" xfId="1" applyFont="1" applyFill="1" applyBorder="1" applyAlignment="1">
      <alignment horizontal="center" vertical="center"/>
    </xf>
    <xf numFmtId="3" fontId="46" fillId="0" borderId="204" xfId="1" applyNumberFormat="1" applyFont="1" applyFill="1" applyBorder="1" applyAlignment="1">
      <alignment horizontal="center" vertical="center"/>
    </xf>
    <xf numFmtId="0" fontId="48" fillId="0" borderId="218" xfId="1" applyFont="1" applyFill="1" applyBorder="1" applyAlignment="1">
      <alignment vertical="center"/>
    </xf>
    <xf numFmtId="0" fontId="77" fillId="0" borderId="351" xfId="1" applyFont="1" applyFill="1" applyBorder="1" applyAlignment="1">
      <alignment horizontal="left" vertical="center"/>
    </xf>
    <xf numFmtId="0" fontId="82" fillId="0" borderId="383" xfId="15" applyFont="1" applyFill="1" applyBorder="1" applyAlignment="1">
      <alignment horizontal="left" vertical="center"/>
    </xf>
    <xf numFmtId="0" fontId="46" fillId="0" borderId="38" xfId="1" applyFont="1" applyFill="1" applyBorder="1" applyAlignment="1">
      <alignment vertical="center"/>
    </xf>
    <xf numFmtId="0" fontId="69" fillId="0" borderId="149" xfId="1" applyFont="1" applyFill="1" applyBorder="1" applyAlignment="1">
      <alignment horizontal="left" vertical="center"/>
    </xf>
    <xf numFmtId="3" fontId="39" fillId="27" borderId="332" xfId="1" applyNumberFormat="1" applyFont="1" applyFill="1" applyBorder="1" applyAlignment="1">
      <alignment horizontal="center" vertical="center"/>
    </xf>
    <xf numFmtId="172" fontId="38" fillId="24" borderId="169" xfId="1" applyNumberFormat="1" applyFont="1" applyFill="1" applyBorder="1" applyAlignment="1">
      <alignment horizontal="center" vertical="center"/>
    </xf>
    <xf numFmtId="3" fontId="17" fillId="25" borderId="102" xfId="1" applyNumberFormat="1" applyFont="1" applyFill="1" applyBorder="1" applyAlignment="1">
      <alignment horizontal="center" vertical="center"/>
    </xf>
    <xf numFmtId="3" fontId="17" fillId="24" borderId="72" xfId="1" applyNumberFormat="1" applyFont="1" applyFill="1" applyBorder="1" applyAlignment="1">
      <alignment horizontal="center" vertical="center"/>
    </xf>
    <xf numFmtId="3" fontId="17" fillId="0" borderId="304" xfId="1" applyNumberFormat="1" applyFont="1" applyFill="1" applyBorder="1" applyAlignment="1">
      <alignment horizontal="center" vertical="center"/>
    </xf>
    <xf numFmtId="0" fontId="104" fillId="27" borderId="337" xfId="15" applyFont="1" applyFill="1" applyBorder="1" applyAlignment="1">
      <alignment horizontal="left" vertical="center"/>
    </xf>
    <xf numFmtId="0" fontId="48" fillId="0" borderId="38" xfId="1" applyFont="1" applyFill="1" applyBorder="1" applyAlignment="1">
      <alignment horizontal="left" vertical="center"/>
    </xf>
    <xf numFmtId="169" fontId="17" fillId="0" borderId="400" xfId="1" applyNumberFormat="1" applyFont="1" applyFill="1" applyBorder="1" applyAlignment="1">
      <alignment horizontal="right" vertical="center"/>
    </xf>
    <xf numFmtId="3" fontId="45" fillId="0" borderId="423" xfId="1" applyNumberFormat="1" applyFont="1" applyFill="1" applyBorder="1" applyAlignment="1">
      <alignment horizontal="center" vertical="center"/>
    </xf>
    <xf numFmtId="0" fontId="45" fillId="0" borderId="404" xfId="1" applyFont="1" applyFill="1" applyBorder="1" applyAlignment="1">
      <alignment horizontal="left" vertical="center"/>
    </xf>
    <xf numFmtId="0" fontId="82" fillId="0" borderId="210" xfId="15" applyFont="1" applyFill="1" applyBorder="1" applyAlignment="1">
      <alignment vertical="center"/>
    </xf>
    <xf numFmtId="0" fontId="82" fillId="0" borderId="40" xfId="15" applyFont="1" applyFill="1" applyBorder="1" applyAlignment="1">
      <alignment horizontal="left" vertical="center"/>
    </xf>
    <xf numFmtId="3" fontId="46" fillId="0" borderId="423" xfId="1" applyNumberFormat="1" applyFont="1" applyFill="1" applyBorder="1" applyAlignment="1">
      <alignment horizontal="center" vertical="center"/>
    </xf>
    <xf numFmtId="3" fontId="46" fillId="0" borderId="381" xfId="1" applyNumberFormat="1" applyFont="1" applyFill="1" applyBorder="1" applyAlignment="1">
      <alignment horizontal="center" vertical="center"/>
    </xf>
    <xf numFmtId="0" fontId="45" fillId="0" borderId="412" xfId="1" applyFont="1" applyFill="1" applyBorder="1" applyAlignment="1">
      <alignment horizontal="left" vertical="center"/>
    </xf>
    <xf numFmtId="3" fontId="17" fillId="25" borderId="258" xfId="1" applyNumberFormat="1" applyFont="1" applyFill="1" applyBorder="1" applyAlignment="1">
      <alignment horizontal="center" vertical="center"/>
    </xf>
    <xf numFmtId="14" fontId="17" fillId="24" borderId="64" xfId="1" applyNumberFormat="1" applyFont="1" applyFill="1" applyBorder="1" applyAlignment="1">
      <alignment horizontal="center" vertical="center"/>
    </xf>
    <xf numFmtId="0" fontId="104" fillId="25" borderId="8" xfId="15" applyFont="1" applyFill="1" applyBorder="1" applyAlignment="1">
      <alignment horizontal="left" vertical="center"/>
    </xf>
    <xf numFmtId="0" fontId="43" fillId="28" borderId="21" xfId="1" applyFont="1" applyFill="1" applyBorder="1" applyAlignment="1">
      <alignment horizontal="center" vertical="center"/>
    </xf>
    <xf numFmtId="0" fontId="104" fillId="28" borderId="8" xfId="15" applyFont="1" applyFill="1" applyBorder="1" applyAlignment="1">
      <alignment horizontal="left" vertical="center"/>
    </xf>
    <xf numFmtId="0" fontId="17" fillId="26" borderId="325" xfId="1" applyFont="1" applyFill="1" applyBorder="1" applyAlignment="1">
      <alignment horizontal="center" vertical="center"/>
    </xf>
    <xf numFmtId="0" fontId="23" fillId="25" borderId="21" xfId="1" applyFont="1" applyFill="1" applyBorder="1" applyAlignment="1">
      <alignment horizontal="center" vertical="center"/>
    </xf>
    <xf numFmtId="0" fontId="23" fillId="27" borderId="21" xfId="1" applyFont="1" applyFill="1" applyBorder="1" applyAlignment="1">
      <alignment horizontal="center" vertical="center"/>
    </xf>
    <xf numFmtId="0" fontId="104" fillId="28" borderId="0" xfId="15" applyFont="1" applyFill="1" applyBorder="1" applyAlignment="1">
      <alignment horizontal="left" vertical="center"/>
    </xf>
    <xf numFmtId="3" fontId="17" fillId="0" borderId="417" xfId="1" applyNumberFormat="1" applyFont="1" applyFill="1" applyBorder="1" applyAlignment="1">
      <alignment horizontal="center" vertical="center"/>
    </xf>
    <xf numFmtId="3" fontId="38" fillId="8" borderId="24" xfId="1" applyNumberFormat="1" applyFont="1" applyFill="1" applyBorder="1" applyAlignment="1">
      <alignment horizontal="center" vertical="center"/>
    </xf>
    <xf numFmtId="169" fontId="17" fillId="0" borderId="386" xfId="1" applyNumberFormat="1" applyFont="1" applyFill="1" applyBorder="1" applyAlignment="1">
      <alignment horizontal="right" vertical="center"/>
    </xf>
    <xf numFmtId="169" fontId="17" fillId="0" borderId="412" xfId="1" applyNumberFormat="1" applyFont="1" applyFill="1" applyBorder="1" applyAlignment="1">
      <alignment horizontal="right" vertical="center"/>
    </xf>
    <xf numFmtId="0" fontId="45" fillId="0" borderId="217" xfId="1" applyFont="1" applyFill="1" applyBorder="1" applyAlignment="1">
      <alignment vertical="center"/>
    </xf>
    <xf numFmtId="169" fontId="17" fillId="0" borderId="197" xfId="1" applyNumberFormat="1" applyFont="1" applyFill="1" applyBorder="1" applyAlignment="1">
      <alignment horizontal="right" vertical="center"/>
    </xf>
    <xf numFmtId="0" fontId="45" fillId="0" borderId="118" xfId="1" applyFont="1" applyFill="1" applyBorder="1" applyAlignment="1">
      <alignment vertical="center"/>
    </xf>
    <xf numFmtId="169" fontId="17" fillId="0" borderId="368" xfId="1" applyNumberFormat="1" applyFont="1" applyFill="1" applyBorder="1" applyAlignment="1">
      <alignment horizontal="right" vertical="center"/>
    </xf>
    <xf numFmtId="3" fontId="69" fillId="0" borderId="41" xfId="1" applyNumberFormat="1" applyFont="1" applyFill="1" applyBorder="1" applyAlignment="1">
      <alignment horizontal="center" vertical="center"/>
    </xf>
    <xf numFmtId="0" fontId="59" fillId="29" borderId="0" xfId="1" applyFont="1" applyFill="1" applyBorder="1" applyAlignment="1">
      <alignment horizontal="center" vertical="center"/>
    </xf>
    <xf numFmtId="3" fontId="17" fillId="34" borderId="64" xfId="1" applyNumberFormat="1" applyFont="1" applyFill="1" applyBorder="1" applyAlignment="1">
      <alignment horizontal="center" vertical="center"/>
    </xf>
    <xf numFmtId="3" fontId="17" fillId="29" borderId="386" xfId="1" applyNumberFormat="1" applyFont="1" applyFill="1" applyBorder="1" applyAlignment="1">
      <alignment horizontal="center" vertical="center"/>
    </xf>
    <xf numFmtId="3" fontId="39" fillId="29" borderId="386" xfId="1" applyNumberFormat="1" applyFont="1" applyFill="1" applyBorder="1" applyAlignment="1">
      <alignment horizontal="center" vertical="center"/>
    </xf>
    <xf numFmtId="3" fontId="38" fillId="29" borderId="386" xfId="1" applyNumberFormat="1" applyFont="1" applyFill="1" applyBorder="1" applyAlignment="1">
      <alignment horizontal="left" vertical="center"/>
    </xf>
    <xf numFmtId="3" fontId="38" fillId="29" borderId="386" xfId="1" applyNumberFormat="1" applyFont="1" applyFill="1" applyBorder="1" applyAlignment="1">
      <alignment horizontal="center" vertical="center"/>
    </xf>
    <xf numFmtId="0" fontId="17" fillId="29" borderId="386" xfId="1" applyFont="1" applyFill="1" applyBorder="1" applyAlignment="1">
      <alignment horizontal="center" vertical="center"/>
    </xf>
    <xf numFmtId="172" fontId="38" fillId="29" borderId="386" xfId="1" applyNumberFormat="1" applyFont="1" applyFill="1" applyBorder="1" applyAlignment="1">
      <alignment horizontal="center" vertical="center"/>
    </xf>
    <xf numFmtId="14" fontId="38" fillId="29" borderId="386" xfId="1" applyNumberFormat="1" applyFont="1" applyFill="1" applyBorder="1" applyAlignment="1">
      <alignment horizontal="center" vertical="center"/>
    </xf>
    <xf numFmtId="3" fontId="45" fillId="0" borderId="424" xfId="1" applyNumberFormat="1" applyFont="1" applyFill="1" applyBorder="1" applyAlignment="1">
      <alignment horizontal="center" vertical="center"/>
    </xf>
    <xf numFmtId="2" fontId="38" fillId="35" borderId="307" xfId="1" applyNumberFormat="1" applyFont="1" applyFill="1" applyBorder="1" applyAlignment="1">
      <alignment horizontal="center" vertical="center"/>
    </xf>
    <xf numFmtId="3" fontId="45" fillId="0" borderId="355" xfId="1" applyNumberFormat="1" applyFont="1" applyFill="1" applyBorder="1" applyAlignment="1">
      <alignment horizontal="center" vertical="center"/>
    </xf>
    <xf numFmtId="3" fontId="45" fillId="0" borderId="365" xfId="1" applyNumberFormat="1" applyFont="1" applyFill="1" applyBorder="1" applyAlignment="1">
      <alignment horizontal="center" vertical="center"/>
    </xf>
    <xf numFmtId="0" fontId="43" fillId="25" borderId="21" xfId="1" applyFont="1" applyFill="1" applyBorder="1" applyAlignment="1">
      <alignment horizontal="center" vertical="center"/>
    </xf>
    <xf numFmtId="3" fontId="17" fillId="25" borderId="331" xfId="1" applyNumberFormat="1" applyFont="1" applyFill="1" applyBorder="1" applyAlignment="1">
      <alignment horizontal="center" vertical="center"/>
    </xf>
    <xf numFmtId="0" fontId="59" fillId="4" borderId="4" xfId="1" applyFont="1" applyFill="1" applyBorder="1" applyAlignment="1">
      <alignment horizontal="center" vertical="center"/>
    </xf>
    <xf numFmtId="2" fontId="38" fillId="35" borderId="393" xfId="1" applyNumberFormat="1" applyFont="1" applyFill="1" applyBorder="1" applyAlignment="1">
      <alignment horizontal="center" vertical="center"/>
    </xf>
    <xf numFmtId="0" fontId="69" fillId="0" borderId="402" xfId="1" applyFont="1" applyFill="1" applyBorder="1" applyAlignment="1">
      <alignment horizontal="center" vertical="center"/>
    </xf>
    <xf numFmtId="0" fontId="69" fillId="0" borderId="287" xfId="1" applyFont="1" applyFill="1" applyBorder="1" applyAlignment="1">
      <alignment horizontal="center" vertical="center"/>
    </xf>
    <xf numFmtId="3" fontId="45" fillId="0" borderId="425" xfId="1" applyNumberFormat="1" applyFont="1" applyFill="1" applyBorder="1" applyAlignment="1">
      <alignment horizontal="center" vertical="center"/>
    </xf>
    <xf numFmtId="3" fontId="69" fillId="0" borderId="163" xfId="1" applyNumberFormat="1" applyFont="1" applyFill="1" applyBorder="1" applyAlignment="1">
      <alignment horizontal="left" vertical="center"/>
    </xf>
    <xf numFmtId="0" fontId="49" fillId="0" borderId="0" xfId="0" applyFont="1" applyBorder="1" applyAlignment="1">
      <alignment horizontal="left" vertical="center"/>
    </xf>
    <xf numFmtId="3" fontId="50" fillId="0" borderId="420" xfId="1" applyNumberFormat="1" applyFont="1" applyFill="1" applyBorder="1" applyAlignment="1">
      <alignment horizontal="center" vertical="center"/>
    </xf>
    <xf numFmtId="3" fontId="58" fillId="0" borderId="429" xfId="1" applyNumberFormat="1" applyFont="1" applyFill="1" applyBorder="1" applyAlignment="1">
      <alignment horizontal="center" vertical="center"/>
    </xf>
    <xf numFmtId="3" fontId="58" fillId="0" borderId="427" xfId="1" applyNumberFormat="1" applyFont="1" applyFill="1" applyBorder="1" applyAlignment="1">
      <alignment horizontal="left" vertical="center"/>
    </xf>
    <xf numFmtId="3" fontId="17" fillId="0" borderId="428" xfId="1" applyNumberFormat="1" applyFont="1" applyBorder="1" applyAlignment="1">
      <alignment horizontal="center" vertical="center"/>
    </xf>
    <xf numFmtId="3" fontId="45" fillId="0" borderId="430" xfId="1" applyNumberFormat="1" applyFont="1" applyFill="1" applyBorder="1" applyAlignment="1">
      <alignment horizontal="center" vertical="center"/>
    </xf>
    <xf numFmtId="0" fontId="49" fillId="0" borderId="0" xfId="0" applyFont="1" applyBorder="1" applyAlignment="1">
      <alignment horizontal="left" vertical="center"/>
    </xf>
    <xf numFmtId="0" fontId="33" fillId="0" borderId="420" xfId="1" applyFont="1" applyFill="1" applyBorder="1" applyAlignment="1">
      <alignment horizontal="center" vertical="center"/>
    </xf>
    <xf numFmtId="0" fontId="55" fillId="0" borderId="420" xfId="1" applyFont="1" applyFill="1" applyBorder="1" applyAlignment="1">
      <alignment horizontal="center" vertical="center" wrapText="1"/>
    </xf>
    <xf numFmtId="0" fontId="21" fillId="0" borderId="420" xfId="15" quotePrefix="1" applyFont="1" applyFill="1" applyBorder="1" applyAlignment="1">
      <alignment horizontal="center" vertical="center"/>
    </xf>
    <xf numFmtId="0" fontId="11" fillId="0" borderId="420" xfId="17" applyFont="1" applyFill="1" applyBorder="1" applyAlignment="1">
      <alignment horizontal="center" vertical="center"/>
    </xf>
    <xf numFmtId="3" fontId="34" fillId="0" borderId="420" xfId="1" applyNumberFormat="1" applyFont="1" applyFill="1" applyBorder="1" applyAlignment="1">
      <alignment horizontal="center" vertical="center"/>
    </xf>
    <xf numFmtId="3" fontId="58" fillId="0" borderId="8" xfId="1" applyNumberFormat="1" applyFont="1" applyFill="1" applyBorder="1" applyAlignment="1">
      <alignment horizontal="left" vertical="center"/>
    </xf>
    <xf numFmtId="0" fontId="50" fillId="0" borderId="0" xfId="1" applyFont="1" applyFill="1" applyBorder="1" applyAlignment="1">
      <alignment horizontal="right" vertical="center"/>
    </xf>
    <xf numFmtId="0" fontId="49" fillId="0" borderId="231" xfId="0" applyFont="1" applyBorder="1" applyAlignment="1">
      <alignment vertical="center" wrapText="1"/>
    </xf>
    <xf numFmtId="0" fontId="49" fillId="0" borderId="0" xfId="0" applyFont="1" applyBorder="1" applyAlignment="1">
      <alignment vertical="center" wrapText="1"/>
    </xf>
    <xf numFmtId="3" fontId="11" fillId="0" borderId="356" xfId="17" applyNumberFormat="1" applyFont="1" applyFill="1" applyBorder="1" applyAlignment="1">
      <alignment horizontal="center" vertical="center"/>
    </xf>
    <xf numFmtId="0" fontId="59" fillId="0" borderId="220" xfId="1" applyFont="1" applyFill="1" applyBorder="1" applyAlignment="1">
      <alignment horizontal="center" vertical="center"/>
    </xf>
    <xf numFmtId="3" fontId="45" fillId="0" borderId="386" xfId="1" applyNumberFormat="1" applyFont="1" applyFill="1" applyBorder="1" applyAlignment="1">
      <alignment horizontal="center" vertical="center"/>
    </xf>
    <xf numFmtId="3" fontId="45" fillId="0" borderId="417" xfId="1" applyNumberFormat="1" applyFont="1" applyFill="1" applyBorder="1" applyAlignment="1">
      <alignment horizontal="center" vertical="center"/>
    </xf>
    <xf numFmtId="3" fontId="45" fillId="0" borderId="426" xfId="1" applyNumberFormat="1" applyFont="1" applyFill="1" applyBorder="1" applyAlignment="1">
      <alignment horizontal="center" vertical="center"/>
    </xf>
    <xf numFmtId="3" fontId="45" fillId="0" borderId="431" xfId="1" applyNumberFormat="1" applyFont="1" applyFill="1" applyBorder="1" applyAlignment="1">
      <alignment horizontal="center" vertical="center"/>
    </xf>
    <xf numFmtId="0" fontId="59" fillId="0" borderId="433" xfId="1" applyFont="1" applyFill="1" applyBorder="1" applyAlignment="1">
      <alignment horizontal="center" vertical="center"/>
    </xf>
    <xf numFmtId="3" fontId="45" fillId="0" borderId="434" xfId="1" applyNumberFormat="1" applyFont="1" applyFill="1" applyBorder="1" applyAlignment="1">
      <alignment horizontal="center" vertical="center"/>
    </xf>
    <xf numFmtId="0" fontId="59" fillId="0" borderId="435" xfId="1" applyFont="1" applyFill="1" applyBorder="1" applyAlignment="1">
      <alignment horizontal="center" vertical="center"/>
    </xf>
    <xf numFmtId="3" fontId="45" fillId="0" borderId="437" xfId="1" applyNumberFormat="1" applyFont="1" applyFill="1" applyBorder="1" applyAlignment="1">
      <alignment horizontal="center" vertical="center"/>
    </xf>
    <xf numFmtId="3" fontId="45" fillId="0" borderId="438" xfId="1" applyNumberFormat="1" applyFont="1" applyFill="1" applyBorder="1" applyAlignment="1">
      <alignment horizontal="center" vertical="center"/>
    </xf>
    <xf numFmtId="3" fontId="45" fillId="0" borderId="435" xfId="1" applyNumberFormat="1" applyFont="1" applyFill="1" applyBorder="1" applyAlignment="1">
      <alignment horizontal="center" vertical="center"/>
    </xf>
    <xf numFmtId="3" fontId="45" fillId="0" borderId="436" xfId="1" applyNumberFormat="1" applyFont="1" applyFill="1" applyBorder="1" applyAlignment="1">
      <alignment horizontal="center" vertical="center"/>
    </xf>
    <xf numFmtId="3" fontId="45" fillId="0" borderId="432" xfId="1" applyNumberFormat="1" applyFont="1" applyFill="1" applyBorder="1" applyAlignment="1">
      <alignment horizontal="center" vertical="center"/>
    </xf>
    <xf numFmtId="0" fontId="131" fillId="0" borderId="0" xfId="0" quotePrefix="1" applyFont="1" applyAlignment="1">
      <alignment horizontal="center"/>
    </xf>
    <xf numFmtId="0" fontId="82" fillId="0" borderId="0" xfId="15" applyFont="1" applyAlignment="1" applyProtection="1">
      <alignment horizontal="center" vertical="center"/>
    </xf>
    <xf numFmtId="0" fontId="104" fillId="0" borderId="0" xfId="15" applyFont="1" applyAlignment="1" applyProtection="1">
      <alignment horizontal="center" vertical="center"/>
    </xf>
    <xf numFmtId="0" fontId="49" fillId="0" borderId="0" xfId="0" applyFont="1" applyAlignment="1">
      <alignment horizontal="right"/>
    </xf>
    <xf numFmtId="0" fontId="49" fillId="0" borderId="0" xfId="0" applyFont="1" applyBorder="1" applyAlignment="1">
      <alignment horizontal="left" vertical="center"/>
    </xf>
    <xf numFmtId="3" fontId="45" fillId="0" borderId="439" xfId="1" applyNumberFormat="1" applyFont="1" applyFill="1" applyBorder="1" applyAlignment="1">
      <alignment horizontal="center" vertical="center"/>
    </xf>
    <xf numFmtId="3" fontId="45" fillId="0" borderId="112" xfId="1" applyNumberFormat="1" applyFont="1" applyFill="1" applyBorder="1" applyAlignment="1">
      <alignment horizontal="center" vertical="center"/>
    </xf>
    <xf numFmtId="0" fontId="45" fillId="0" borderId="414" xfId="1" applyFont="1" applyFill="1" applyBorder="1" applyAlignment="1">
      <alignment horizontal="left" vertical="center"/>
    </xf>
    <xf numFmtId="0" fontId="44" fillId="0" borderId="58" xfId="1" applyFont="1" applyFill="1" applyBorder="1" applyAlignment="1">
      <alignment horizontal="left" vertical="center"/>
    </xf>
    <xf numFmtId="0" fontId="84" fillId="0" borderId="163" xfId="15" applyFont="1" applyFill="1" applyBorder="1" applyAlignment="1">
      <alignment horizontal="left" vertical="center"/>
    </xf>
    <xf numFmtId="3" fontId="45" fillId="0" borderId="59" xfId="15" applyNumberFormat="1" applyFont="1" applyFill="1" applyBorder="1" applyAlignment="1">
      <alignment horizontal="left" vertical="center"/>
    </xf>
    <xf numFmtId="0" fontId="69" fillId="0" borderId="61" xfId="1" applyFont="1" applyFill="1" applyBorder="1" applyAlignment="1">
      <alignment horizontal="center" vertical="center"/>
    </xf>
    <xf numFmtId="0" fontId="69" fillId="0" borderId="161" xfId="1" applyFont="1" applyFill="1" applyBorder="1" applyAlignment="1">
      <alignment horizontal="center" vertical="center"/>
    </xf>
    <xf numFmtId="0" fontId="38" fillId="0" borderId="406" xfId="1" applyFont="1" applyFill="1" applyBorder="1" applyAlignment="1">
      <alignment horizontal="center" vertical="center"/>
    </xf>
    <xf numFmtId="0" fontId="45" fillId="0" borderId="163" xfId="15" applyFont="1" applyFill="1" applyBorder="1" applyAlignment="1">
      <alignment horizontal="left" vertical="center"/>
    </xf>
    <xf numFmtId="3" fontId="46" fillId="0" borderId="405" xfId="1" applyNumberFormat="1" applyFont="1" applyFill="1" applyBorder="1" applyAlignment="1">
      <alignment horizontal="center" vertical="center"/>
    </xf>
    <xf numFmtId="0" fontId="54" fillId="0" borderId="420" xfId="1" applyFont="1" applyFill="1" applyBorder="1" applyAlignment="1">
      <alignment horizontal="center" vertical="center"/>
    </xf>
    <xf numFmtId="0" fontId="49" fillId="0" borderId="0" xfId="0" applyFont="1" applyBorder="1" applyAlignment="1">
      <alignment horizontal="left" vertical="center"/>
    </xf>
    <xf numFmtId="0" fontId="49" fillId="0" borderId="0" xfId="0" applyFont="1" applyBorder="1" applyAlignment="1">
      <alignment horizontal="left" vertical="center"/>
    </xf>
    <xf numFmtId="167" fontId="58" fillId="0" borderId="367" xfId="1" applyNumberFormat="1" applyFont="1" applyBorder="1" applyAlignment="1">
      <alignment horizontal="center" vertical="center"/>
    </xf>
    <xf numFmtId="0" fontId="69" fillId="0" borderId="435" xfId="1" applyFont="1" applyFill="1" applyBorder="1" applyAlignment="1">
      <alignment horizontal="center" vertical="center"/>
    </xf>
    <xf numFmtId="0" fontId="69" fillId="0" borderId="433" xfId="1" applyFont="1" applyFill="1" applyBorder="1" applyAlignment="1">
      <alignment horizontal="center" vertical="center"/>
    </xf>
    <xf numFmtId="167" fontId="58" fillId="0" borderId="428" xfId="1" applyNumberFormat="1" applyFont="1" applyBorder="1" applyAlignment="1">
      <alignment horizontal="center" vertical="center"/>
    </xf>
    <xf numFmtId="3" fontId="65" fillId="0" borderId="0" xfId="0" applyNumberFormat="1" applyFont="1" applyFill="1" applyAlignment="1">
      <alignment horizontal="center" vertical="center"/>
    </xf>
    <xf numFmtId="3" fontId="134" fillId="0" borderId="0" xfId="0" applyNumberFormat="1" applyFont="1" applyAlignment="1">
      <alignment horizontal="center" vertical="center"/>
    </xf>
    <xf numFmtId="3" fontId="49" fillId="0" borderId="0" xfId="0" quotePrefix="1" applyNumberFormat="1" applyFont="1" applyAlignment="1">
      <alignment horizontal="center"/>
    </xf>
    <xf numFmtId="0" fontId="111" fillId="0" borderId="0" xfId="15" quotePrefix="1" applyFont="1" applyAlignment="1" applyProtection="1">
      <alignment horizontal="center" vertical="center"/>
    </xf>
    <xf numFmtId="0" fontId="111" fillId="0" borderId="0" xfId="15" quotePrefix="1" applyFont="1" applyAlignment="1">
      <alignment horizontal="center"/>
    </xf>
    <xf numFmtId="14" fontId="49" fillId="0" borderId="0" xfId="0" quotePrefix="1" applyNumberFormat="1" applyFont="1" applyFill="1" applyAlignment="1">
      <alignment horizontal="center"/>
    </xf>
    <xf numFmtId="14" fontId="49" fillId="0" borderId="0" xfId="0" quotePrefix="1" applyNumberFormat="1" applyFont="1" applyAlignment="1">
      <alignment horizontal="center"/>
    </xf>
    <xf numFmtId="3" fontId="49" fillId="0" borderId="0" xfId="0" applyNumberFormat="1" applyFont="1" applyAlignment="1">
      <alignment horizontal="center"/>
    </xf>
    <xf numFmtId="0" fontId="65" fillId="0" borderId="0" xfId="0" applyFont="1" applyAlignment="1">
      <alignment horizontal="center" vertical="center"/>
    </xf>
    <xf numFmtId="0" fontId="58" fillId="0" borderId="0" xfId="15" applyFont="1" applyFill="1" applyAlignment="1" applyProtection="1">
      <alignment horizontal="center"/>
    </xf>
    <xf numFmtId="0" fontId="6" fillId="0" borderId="15" xfId="15" applyFill="1" applyBorder="1" applyAlignment="1">
      <alignment horizontal="center" vertical="center"/>
    </xf>
    <xf numFmtId="0" fontId="6" fillId="0" borderId="15" xfId="15" applyBorder="1" applyAlignment="1">
      <alignment horizontal="center"/>
    </xf>
    <xf numFmtId="0" fontId="17" fillId="0" borderId="64" xfId="1" applyFont="1" applyFill="1" applyBorder="1" applyAlignment="1">
      <alignment horizontal="center" vertical="center" wrapText="1"/>
    </xf>
    <xf numFmtId="0" fontId="17" fillId="0" borderId="64" xfId="15" quotePrefix="1" applyFont="1" applyFill="1" applyBorder="1" applyAlignment="1">
      <alignment horizontal="center" vertical="center"/>
    </xf>
    <xf numFmtId="0" fontId="17" fillId="0" borderId="64" xfId="17" quotePrefix="1" applyFont="1" applyFill="1" applyBorder="1" applyAlignment="1">
      <alignment horizontal="center" vertical="center" wrapText="1"/>
    </xf>
    <xf numFmtId="0" fontId="82" fillId="0" borderId="122" xfId="15" applyFont="1" applyFill="1" applyBorder="1" applyAlignment="1">
      <alignment horizontal="center" vertical="center"/>
    </xf>
    <xf numFmtId="0" fontId="11" fillId="0" borderId="64" xfId="1" applyFont="1" applyFill="1" applyBorder="1" applyAlignment="1">
      <alignment horizontal="center" vertical="center" wrapText="1"/>
    </xf>
    <xf numFmtId="0" fontId="17" fillId="0" borderId="65" xfId="1" applyFont="1" applyFill="1" applyBorder="1" applyAlignment="1">
      <alignment horizontal="center" vertical="center" wrapText="1"/>
    </xf>
    <xf numFmtId="0" fontId="6" fillId="0" borderId="64" xfId="15" quotePrefix="1" applyFill="1" applyBorder="1" applyAlignment="1">
      <alignment horizontal="center" vertical="center"/>
    </xf>
    <xf numFmtId="0" fontId="6" fillId="0" borderId="116" xfId="15" applyFill="1" applyBorder="1" applyAlignment="1">
      <alignment horizontal="center" vertical="center"/>
    </xf>
    <xf numFmtId="0" fontId="135" fillId="0" borderId="64" xfId="15" applyFont="1" applyFill="1" applyBorder="1" applyAlignment="1">
      <alignment horizontal="center" vertical="center"/>
    </xf>
    <xf numFmtId="0" fontId="82" fillId="0" borderId="135" xfId="15" applyFont="1" applyFill="1" applyBorder="1" applyAlignment="1">
      <alignment horizontal="center" vertical="center"/>
    </xf>
    <xf numFmtId="0" fontId="82" fillId="0" borderId="90" xfId="15" applyFont="1" applyFill="1" applyBorder="1" applyAlignment="1">
      <alignment horizontal="center" vertical="center"/>
    </xf>
    <xf numFmtId="0" fontId="104" fillId="0" borderId="0" xfId="15" applyFont="1" applyFill="1"/>
    <xf numFmtId="0" fontId="116" fillId="0" borderId="0" xfId="15" applyFont="1" applyFill="1" applyAlignment="1" applyProtection="1">
      <alignment vertical="center"/>
    </xf>
    <xf numFmtId="3" fontId="82" fillId="0" borderId="5" xfId="15" applyNumberFormat="1" applyFont="1" applyFill="1" applyBorder="1" applyAlignment="1">
      <alignment horizontal="left" vertical="center"/>
    </xf>
    <xf numFmtId="0" fontId="82" fillId="0" borderId="7" xfId="15" applyFont="1" applyFill="1" applyBorder="1" applyAlignment="1">
      <alignment horizontal="left" vertical="center"/>
    </xf>
    <xf numFmtId="0" fontId="82" fillId="0" borderId="203" xfId="15" applyFont="1" applyFill="1" applyBorder="1" applyAlignment="1">
      <alignment horizontal="left" vertical="center"/>
    </xf>
    <xf numFmtId="0" fontId="133" fillId="0" borderId="135" xfId="15" applyFont="1" applyFill="1" applyBorder="1" applyAlignment="1">
      <alignment horizontal="center" vertical="center"/>
    </xf>
    <xf numFmtId="0" fontId="104" fillId="0" borderId="0" xfId="15" applyFont="1" applyFill="1" applyAlignment="1" applyProtection="1">
      <alignment vertical="center"/>
    </xf>
    <xf numFmtId="0" fontId="49" fillId="0" borderId="0" xfId="0" applyFont="1" applyBorder="1" applyAlignment="1">
      <alignment horizontal="left" vertical="center"/>
    </xf>
    <xf numFmtId="167" fontId="58" fillId="0" borderId="0" xfId="1" applyNumberFormat="1" applyFont="1" applyBorder="1" applyAlignment="1">
      <alignment horizontal="center" vertical="center"/>
    </xf>
    <xf numFmtId="3" fontId="17" fillId="0" borderId="0" xfId="1" applyNumberFormat="1" applyFont="1" applyBorder="1" applyAlignment="1">
      <alignment horizontal="center" vertical="center"/>
    </xf>
    <xf numFmtId="0" fontId="137" fillId="0" borderId="0" xfId="1" applyFont="1" applyFill="1" applyBorder="1" applyAlignment="1">
      <alignment horizontal="left" vertical="center"/>
    </xf>
    <xf numFmtId="0" fontId="83" fillId="0" borderId="414" xfId="15" applyFont="1" applyFill="1" applyBorder="1" applyAlignment="1">
      <alignment horizontal="left" vertical="center"/>
    </xf>
    <xf numFmtId="4" fontId="17" fillId="0" borderId="367" xfId="1" applyNumberFormat="1" applyFont="1" applyBorder="1" applyAlignment="1">
      <alignment horizontal="center" vertical="center"/>
    </xf>
    <xf numFmtId="0" fontId="46" fillId="0" borderId="435" xfId="1" applyFont="1" applyFill="1" applyBorder="1" applyAlignment="1">
      <alignment horizontal="center"/>
    </xf>
    <xf numFmtId="0" fontId="41" fillId="0" borderId="9" xfId="1" applyFont="1" applyFill="1" applyBorder="1" applyAlignment="1">
      <alignment horizontal="center"/>
    </xf>
    <xf numFmtId="0" fontId="69" fillId="0" borderId="226" xfId="1" applyFont="1" applyFill="1" applyBorder="1" applyAlignment="1">
      <alignment horizontal="center" vertical="center"/>
    </xf>
    <xf numFmtId="3" fontId="45" fillId="0" borderId="445" xfId="1" applyNumberFormat="1" applyFont="1" applyFill="1" applyBorder="1" applyAlignment="1">
      <alignment horizontal="center" vertical="center"/>
    </xf>
    <xf numFmtId="3" fontId="45" fillId="0" borderId="444" xfId="1" applyNumberFormat="1" applyFont="1" applyFill="1" applyBorder="1" applyAlignment="1">
      <alignment horizontal="center" vertical="center"/>
    </xf>
    <xf numFmtId="3" fontId="45" fillId="0" borderId="442" xfId="1" applyNumberFormat="1" applyFont="1" applyFill="1" applyBorder="1" applyAlignment="1">
      <alignment horizontal="center" vertical="center"/>
    </xf>
    <xf numFmtId="0" fontId="41" fillId="0" borderId="38" xfId="1" applyFont="1" applyFill="1" applyBorder="1" applyAlignment="1">
      <alignment horizontal="center"/>
    </xf>
    <xf numFmtId="0" fontId="49" fillId="0" borderId="0" xfId="0" applyFont="1" applyBorder="1" applyAlignment="1">
      <alignment horizontal="left" vertical="center"/>
    </xf>
    <xf numFmtId="169" fontId="17" fillId="0" borderId="26" xfId="1" applyNumberFormat="1" applyFont="1" applyFill="1" applyBorder="1" applyAlignment="1">
      <alignment vertical="center"/>
    </xf>
    <xf numFmtId="169" fontId="17" fillId="0" borderId="438" xfId="1" applyNumberFormat="1" applyFont="1" applyFill="1" applyBorder="1" applyAlignment="1">
      <alignment horizontal="right" vertical="center"/>
    </xf>
    <xf numFmtId="0" fontId="82" fillId="0" borderId="149" xfId="15" applyFont="1" applyFill="1" applyBorder="1" applyAlignment="1">
      <alignment vertical="center"/>
    </xf>
    <xf numFmtId="169" fontId="38" fillId="0" borderId="41" xfId="1" applyNumberFormat="1" applyFont="1" applyFill="1" applyBorder="1" applyAlignment="1">
      <alignment horizontal="right" vertical="center"/>
    </xf>
    <xf numFmtId="0" fontId="69" fillId="0" borderId="404" xfId="1" applyFont="1" applyFill="1" applyBorder="1" applyAlignment="1">
      <alignment horizontal="left" vertical="center"/>
    </xf>
    <xf numFmtId="3" fontId="69" fillId="0" borderId="1" xfId="1" applyNumberFormat="1" applyFont="1" applyFill="1" applyBorder="1" applyAlignment="1">
      <alignment horizontal="center" vertical="center"/>
    </xf>
    <xf numFmtId="3" fontId="45" fillId="0" borderId="447" xfId="1" applyNumberFormat="1" applyFont="1" applyFill="1" applyBorder="1" applyAlignment="1">
      <alignment horizontal="center" vertical="center"/>
    </xf>
    <xf numFmtId="3" fontId="45" fillId="0" borderId="449" xfId="1" applyNumberFormat="1" applyFont="1" applyFill="1" applyBorder="1" applyAlignment="1">
      <alignment horizontal="center" vertical="center"/>
    </xf>
    <xf numFmtId="3" fontId="45" fillId="0" borderId="450" xfId="1" applyNumberFormat="1" applyFont="1" applyFill="1" applyBorder="1" applyAlignment="1">
      <alignment horizontal="center" vertical="center"/>
    </xf>
    <xf numFmtId="3" fontId="45" fillId="0" borderId="451" xfId="1" applyNumberFormat="1" applyFont="1" applyFill="1" applyBorder="1" applyAlignment="1">
      <alignment horizontal="center" vertical="center"/>
    </xf>
    <xf numFmtId="3" fontId="45" fillId="0" borderId="446" xfId="1" applyNumberFormat="1" applyFont="1" applyFill="1" applyBorder="1" applyAlignment="1">
      <alignment horizontal="center" vertical="center"/>
    </xf>
    <xf numFmtId="0" fontId="49" fillId="0" borderId="0" xfId="0" applyFont="1" applyBorder="1" applyAlignment="1">
      <alignment horizontal="left" vertical="center"/>
    </xf>
    <xf numFmtId="0" fontId="49" fillId="0" borderId="0" xfId="0" applyFont="1" applyAlignment="1">
      <alignment horizontal="center"/>
    </xf>
    <xf numFmtId="3" fontId="45" fillId="0" borderId="453" xfId="1" applyNumberFormat="1" applyFont="1" applyFill="1" applyBorder="1" applyAlignment="1">
      <alignment horizontal="center" vertical="center"/>
    </xf>
    <xf numFmtId="0" fontId="49" fillId="0" borderId="0" xfId="0" applyFont="1" applyBorder="1" applyAlignment="1">
      <alignment horizontal="left" vertical="center"/>
    </xf>
    <xf numFmtId="3" fontId="45" fillId="0" borderId="455" xfId="1" applyNumberFormat="1" applyFont="1" applyFill="1" applyBorder="1" applyAlignment="1">
      <alignment horizontal="center" vertical="center"/>
    </xf>
    <xf numFmtId="3" fontId="45" fillId="0" borderId="459" xfId="1" applyNumberFormat="1" applyFont="1" applyFill="1" applyBorder="1" applyAlignment="1">
      <alignment horizontal="center" vertical="center"/>
    </xf>
    <xf numFmtId="3" fontId="45" fillId="0" borderId="458" xfId="1" applyNumberFormat="1" applyFont="1" applyFill="1" applyBorder="1" applyAlignment="1">
      <alignment horizontal="center" vertical="center"/>
    </xf>
    <xf numFmtId="0" fontId="133" fillId="0" borderId="59" xfId="15" applyFont="1" applyFill="1" applyBorder="1" applyAlignment="1">
      <alignment horizontal="left" vertical="center"/>
    </xf>
    <xf numFmtId="3" fontId="45" fillId="0" borderId="368" xfId="1" applyNumberFormat="1" applyFont="1" applyFill="1" applyBorder="1" applyAlignment="1">
      <alignment horizontal="center" vertical="center"/>
    </xf>
    <xf numFmtId="3" fontId="45" fillId="0" borderId="0" xfId="0" applyNumberFormat="1" applyFont="1" applyBorder="1" applyAlignment="1">
      <alignment horizontal="center" vertical="center"/>
    </xf>
    <xf numFmtId="0" fontId="49" fillId="0" borderId="0" xfId="0" applyFont="1" applyBorder="1" applyAlignment="1">
      <alignment horizontal="left" vertical="center"/>
    </xf>
    <xf numFmtId="3" fontId="45" fillId="0" borderId="0" xfId="0" applyNumberFormat="1" applyFont="1" applyFill="1" applyBorder="1" applyAlignment="1">
      <alignment horizontal="center" vertical="center"/>
    </xf>
    <xf numFmtId="3" fontId="45" fillId="0" borderId="427" xfId="1" applyNumberFormat="1" applyFont="1" applyFill="1" applyBorder="1" applyAlignment="1">
      <alignment horizontal="center" vertical="center"/>
    </xf>
    <xf numFmtId="0" fontId="59" fillId="29" borderId="8" xfId="1" applyFont="1" applyFill="1" applyBorder="1" applyAlignment="1">
      <alignment horizontal="center" vertical="center"/>
    </xf>
    <xf numFmtId="3" fontId="38" fillId="0" borderId="459" xfId="1" applyNumberFormat="1" applyFont="1" applyFill="1" applyBorder="1" applyAlignment="1">
      <alignment horizontal="center" vertical="center"/>
    </xf>
    <xf numFmtId="3" fontId="17" fillId="0" borderId="459" xfId="1" applyNumberFormat="1" applyFont="1" applyFill="1" applyBorder="1" applyAlignment="1">
      <alignment horizontal="center" vertical="center"/>
    </xf>
    <xf numFmtId="3" fontId="38" fillId="0" borderId="417" xfId="1" applyNumberFormat="1" applyFont="1" applyFill="1" applyBorder="1" applyAlignment="1">
      <alignment horizontal="center" vertical="center"/>
    </xf>
    <xf numFmtId="3" fontId="38" fillId="25" borderId="72" xfId="1" applyNumberFormat="1" applyFont="1" applyFill="1" applyBorder="1" applyAlignment="1">
      <alignment horizontal="center" vertical="center"/>
    </xf>
    <xf numFmtId="172" fontId="38" fillId="26" borderId="325" xfId="1" applyNumberFormat="1" applyFont="1" applyFill="1" applyBorder="1" applyAlignment="1">
      <alignment horizontal="center" vertical="center"/>
    </xf>
    <xf numFmtId="3" fontId="38" fillId="4" borderId="459" xfId="1" applyNumberFormat="1" applyFont="1" applyFill="1" applyBorder="1" applyAlignment="1">
      <alignment horizontal="left" vertical="center"/>
    </xf>
    <xf numFmtId="0" fontId="17" fillId="4" borderId="459" xfId="1" applyFont="1" applyFill="1" applyBorder="1" applyAlignment="1">
      <alignment horizontal="center" vertical="center"/>
    </xf>
    <xf numFmtId="172" fontId="38" fillId="4" borderId="459" xfId="1" applyNumberFormat="1" applyFont="1" applyFill="1" applyBorder="1" applyAlignment="1">
      <alignment horizontal="center" vertical="center"/>
    </xf>
    <xf numFmtId="14" fontId="38" fillId="4" borderId="459" xfId="1" applyNumberFormat="1" applyFont="1" applyFill="1" applyBorder="1" applyAlignment="1">
      <alignment horizontal="center" vertical="center"/>
    </xf>
    <xf numFmtId="2" fontId="38" fillId="4" borderId="462" xfId="1" applyNumberFormat="1" applyFont="1" applyFill="1" applyBorder="1" applyAlignment="1">
      <alignment horizontal="center" vertical="center"/>
    </xf>
    <xf numFmtId="0" fontId="23" fillId="5" borderId="32" xfId="1" applyFont="1" applyFill="1" applyBorder="1" applyAlignment="1">
      <alignment horizontal="center" vertical="center"/>
    </xf>
    <xf numFmtId="0" fontId="59" fillId="35" borderId="0" xfId="1" applyFont="1" applyFill="1" applyBorder="1" applyAlignment="1">
      <alignment horizontal="center"/>
    </xf>
    <xf numFmtId="14" fontId="38" fillId="35" borderId="313" xfId="1" applyNumberFormat="1" applyFont="1" applyFill="1" applyBorder="1" applyAlignment="1">
      <alignment horizontal="center" vertical="center"/>
    </xf>
    <xf numFmtId="3" fontId="39" fillId="4" borderId="327" xfId="1" applyNumberFormat="1" applyFont="1" applyFill="1" applyBorder="1" applyAlignment="1">
      <alignment horizontal="center" vertical="center"/>
    </xf>
    <xf numFmtId="0" fontId="49" fillId="0" borderId="0" xfId="0" applyFont="1" applyBorder="1" applyAlignment="1">
      <alignment horizontal="left" vertical="center"/>
    </xf>
    <xf numFmtId="169" fontId="17" fillId="0" borderId="426" xfId="1" applyNumberFormat="1" applyFont="1" applyFill="1" applyBorder="1" applyAlignment="1">
      <alignment horizontal="right" vertical="center"/>
    </xf>
    <xf numFmtId="169" fontId="17" fillId="0" borderId="459" xfId="1" applyNumberFormat="1" applyFont="1" applyFill="1" applyBorder="1" applyAlignment="1">
      <alignment horizontal="right" vertical="center"/>
    </xf>
    <xf numFmtId="3" fontId="69" fillId="0" borderId="431" xfId="1" applyNumberFormat="1" applyFont="1" applyFill="1" applyBorder="1" applyAlignment="1">
      <alignment horizontal="center" vertical="center"/>
    </xf>
    <xf numFmtId="0" fontId="82" fillId="0" borderId="236" xfId="15" applyFont="1" applyFill="1" applyBorder="1" applyAlignment="1">
      <alignment horizontal="left" vertical="center"/>
    </xf>
    <xf numFmtId="0" fontId="46" fillId="0" borderId="214" xfId="1" applyFont="1" applyFill="1" applyBorder="1" applyAlignment="1">
      <alignment horizontal="center" vertical="center"/>
    </xf>
    <xf numFmtId="0" fontId="46" fillId="0" borderId="49" xfId="1" applyFont="1" applyFill="1" applyBorder="1" applyAlignment="1">
      <alignment horizontal="center" vertical="center"/>
    </xf>
    <xf numFmtId="0" fontId="82" fillId="0" borderId="464" xfId="15" applyFont="1" applyFill="1" applyBorder="1" applyAlignment="1">
      <alignment horizontal="left" vertical="center"/>
    </xf>
    <xf numFmtId="169" fontId="38" fillId="0" borderId="67" xfId="1" applyNumberFormat="1" applyFont="1" applyFill="1" applyBorder="1" applyAlignment="1">
      <alignment horizontal="right" vertical="center"/>
    </xf>
    <xf numFmtId="0" fontId="45" fillId="0" borderId="39" xfId="1" applyFont="1" applyFill="1" applyBorder="1" applyAlignment="1">
      <alignment horizontal="left" vertical="center"/>
    </xf>
    <xf numFmtId="0" fontId="82" fillId="0" borderId="465" xfId="15" applyFont="1" applyFill="1" applyBorder="1" applyAlignment="1">
      <alignment horizontal="left" vertical="center"/>
    </xf>
    <xf numFmtId="0" fontId="45" fillId="0" borderId="464" xfId="1" applyFont="1" applyFill="1" applyBorder="1" applyAlignment="1">
      <alignment horizontal="left" vertical="center"/>
    </xf>
    <xf numFmtId="0" fontId="59" fillId="24" borderId="8" xfId="1" applyFont="1" applyFill="1" applyBorder="1" applyAlignment="1">
      <alignment horizontal="center"/>
    </xf>
    <xf numFmtId="3" fontId="38" fillId="8" borderId="72" xfId="1" applyNumberFormat="1" applyFont="1" applyFill="1" applyBorder="1" applyAlignment="1">
      <alignment horizontal="center" vertical="center"/>
    </xf>
    <xf numFmtId="3" fontId="38" fillId="24" borderId="169" xfId="1" applyNumberFormat="1" applyFont="1" applyFill="1" applyBorder="1" applyAlignment="1">
      <alignment horizontal="center" vertical="center"/>
    </xf>
    <xf numFmtId="0" fontId="46" fillId="0" borderId="433" xfId="1" applyFont="1" applyFill="1" applyBorder="1" applyAlignment="1">
      <alignment horizontal="center"/>
    </xf>
    <xf numFmtId="0" fontId="49" fillId="0" borderId="0" xfId="0" applyFont="1" applyBorder="1" applyAlignment="1">
      <alignment horizontal="left" vertical="center"/>
    </xf>
    <xf numFmtId="166" fontId="33" fillId="0" borderId="412" xfId="1" applyNumberFormat="1" applyFont="1" applyFill="1" applyBorder="1" applyAlignment="1">
      <alignment horizontal="center" vertical="center"/>
    </xf>
    <xf numFmtId="14" fontId="38" fillId="4" borderId="300" xfId="1" quotePrefix="1" applyNumberFormat="1" applyFont="1" applyFill="1" applyBorder="1" applyAlignment="1">
      <alignment horizontal="center" vertical="center"/>
    </xf>
    <xf numFmtId="2" fontId="38" fillId="5" borderId="388" xfId="1" applyNumberFormat="1" applyFont="1" applyFill="1" applyBorder="1" applyAlignment="1">
      <alignment horizontal="center" vertical="center"/>
    </xf>
    <xf numFmtId="0" fontId="46" fillId="0" borderId="205" xfId="1" applyFont="1" applyFill="1" applyBorder="1" applyAlignment="1">
      <alignment horizontal="left" vertical="center"/>
    </xf>
    <xf numFmtId="0" fontId="82" fillId="0" borderId="432" xfId="15" applyFont="1" applyFill="1" applyBorder="1" applyAlignment="1">
      <alignment horizontal="left" vertical="center"/>
    </xf>
    <xf numFmtId="3" fontId="45" fillId="0" borderId="465" xfId="1" applyNumberFormat="1" applyFont="1" applyFill="1" applyBorder="1" applyAlignment="1">
      <alignment horizontal="center" vertical="center"/>
    </xf>
    <xf numFmtId="0" fontId="133" fillId="0" borderId="238" xfId="15" applyFont="1" applyFill="1" applyBorder="1" applyAlignment="1">
      <alignment horizontal="left" vertical="center"/>
    </xf>
    <xf numFmtId="0" fontId="69" fillId="0" borderId="295" xfId="1" applyFont="1" applyFill="1" applyBorder="1" applyAlignment="1">
      <alignment horizontal="left" vertical="center"/>
    </xf>
    <xf numFmtId="0" fontId="69" fillId="0" borderId="225" xfId="1" applyFont="1" applyFill="1" applyBorder="1" applyAlignment="1">
      <alignment horizontal="left" vertical="center"/>
    </xf>
    <xf numFmtId="0" fontId="46" fillId="0" borderId="351" xfId="1" applyFont="1" applyFill="1" applyBorder="1" applyAlignment="1">
      <alignment horizontal="center"/>
    </xf>
    <xf numFmtId="0" fontId="23" fillId="24" borderId="377" xfId="1" applyFont="1" applyFill="1" applyBorder="1" applyAlignment="1">
      <alignment horizontal="center" vertical="center"/>
    </xf>
    <xf numFmtId="0" fontId="49" fillId="0" borderId="0" xfId="0" applyFont="1" applyBorder="1" applyAlignment="1">
      <alignment horizontal="left" vertical="center"/>
    </xf>
    <xf numFmtId="0" fontId="23" fillId="35" borderId="0" xfId="1" applyFont="1" applyFill="1" applyBorder="1" applyAlignment="1">
      <alignment horizontal="center" vertical="center"/>
    </xf>
    <xf numFmtId="3" fontId="17" fillId="24" borderId="357" xfId="1" applyNumberFormat="1" applyFont="1" applyFill="1" applyBorder="1" applyAlignment="1">
      <alignment horizontal="center" vertical="center"/>
    </xf>
    <xf numFmtId="3" fontId="38" fillId="24" borderId="357" xfId="1" applyNumberFormat="1" applyFont="1" applyFill="1" applyBorder="1" applyAlignment="1">
      <alignment horizontal="left" vertical="center"/>
    </xf>
    <xf numFmtId="0" fontId="17" fillId="24" borderId="357" xfId="1" applyFont="1" applyFill="1" applyBorder="1" applyAlignment="1">
      <alignment horizontal="center" vertical="center"/>
    </xf>
    <xf numFmtId="14" fontId="38" fillId="24" borderId="357" xfId="1" applyNumberFormat="1" applyFont="1" applyFill="1" applyBorder="1" applyAlignment="1">
      <alignment horizontal="center" vertical="center"/>
    </xf>
    <xf numFmtId="2" fontId="38" fillId="24" borderId="378" xfId="1" applyNumberFormat="1" applyFont="1" applyFill="1" applyBorder="1" applyAlignment="1">
      <alignment horizontal="center" vertical="center"/>
    </xf>
    <xf numFmtId="3" fontId="17" fillId="0" borderId="0" xfId="1" applyNumberFormat="1" applyFont="1" applyFill="1" applyBorder="1" applyAlignment="1">
      <alignment horizontal="center" vertical="center"/>
    </xf>
    <xf numFmtId="3" fontId="17" fillId="0" borderId="243" xfId="1" applyNumberFormat="1" applyFont="1" applyFill="1" applyBorder="1" applyAlignment="1">
      <alignment horizontal="center" vertical="center"/>
    </xf>
    <xf numFmtId="3" fontId="45" fillId="0" borderId="325" xfId="1" applyNumberFormat="1" applyFont="1" applyFill="1" applyBorder="1" applyAlignment="1">
      <alignment horizontal="center" vertical="center"/>
    </xf>
    <xf numFmtId="3" fontId="45" fillId="0" borderId="466" xfId="1" applyNumberFormat="1" applyFont="1" applyFill="1" applyBorder="1" applyAlignment="1">
      <alignment horizontal="center" vertical="center"/>
    </xf>
    <xf numFmtId="3" fontId="45" fillId="0" borderId="467" xfId="1" applyNumberFormat="1" applyFont="1" applyFill="1" applyBorder="1" applyAlignment="1">
      <alignment horizontal="center" vertical="center"/>
    </xf>
    <xf numFmtId="0" fontId="46" fillId="0" borderId="406" xfId="1" applyFont="1" applyFill="1" applyBorder="1" applyAlignment="1">
      <alignment horizontal="center" vertical="center"/>
    </xf>
    <xf numFmtId="0" fontId="46" fillId="0" borderId="402" xfId="1" applyFont="1" applyFill="1" applyBorder="1" applyAlignment="1">
      <alignment horizontal="left" vertical="center"/>
    </xf>
    <xf numFmtId="0" fontId="46" fillId="0" borderId="6" xfId="1" applyFont="1" applyFill="1" applyBorder="1" applyAlignment="1">
      <alignment horizontal="center" vertical="center"/>
    </xf>
    <xf numFmtId="0" fontId="82" fillId="0" borderId="253" xfId="15" applyFont="1" applyFill="1" applyBorder="1" applyAlignment="1">
      <alignment horizontal="left" vertical="center"/>
    </xf>
    <xf numFmtId="169" fontId="17" fillId="0" borderId="467" xfId="1" applyNumberFormat="1" applyFont="1" applyFill="1" applyBorder="1" applyAlignment="1">
      <alignment horizontal="right" vertical="center"/>
    </xf>
    <xf numFmtId="0" fontId="82" fillId="0" borderId="461" xfId="15" applyFont="1" applyFill="1" applyBorder="1" applyAlignment="1">
      <alignment horizontal="left" vertical="center"/>
    </xf>
    <xf numFmtId="0" fontId="46" fillId="0" borderId="406" xfId="1" applyFont="1" applyFill="1" applyBorder="1" applyAlignment="1">
      <alignment horizontal="left" vertical="center"/>
    </xf>
    <xf numFmtId="169" fontId="17" fillId="0" borderId="470" xfId="1" applyNumberFormat="1" applyFont="1" applyFill="1" applyBorder="1" applyAlignment="1">
      <alignment horizontal="right" vertical="center"/>
    </xf>
    <xf numFmtId="0" fontId="23" fillId="24" borderId="32" xfId="1" applyFont="1" applyFill="1" applyBorder="1" applyAlignment="1">
      <alignment horizontal="center" vertical="center"/>
    </xf>
    <xf numFmtId="3" fontId="17" fillId="0" borderId="287" xfId="1" applyNumberFormat="1" applyFont="1" applyFill="1" applyBorder="1" applyAlignment="1">
      <alignment horizontal="center" vertical="center"/>
    </xf>
    <xf numFmtId="3" fontId="38" fillId="24" borderId="368" xfId="1" applyNumberFormat="1" applyFont="1" applyFill="1" applyBorder="1" applyAlignment="1">
      <alignment horizontal="left" vertical="center"/>
    </xf>
    <xf numFmtId="0" fontId="17" fillId="24" borderId="368" xfId="1" applyFont="1" applyFill="1" applyBorder="1" applyAlignment="1">
      <alignment horizontal="center" vertical="center"/>
    </xf>
    <xf numFmtId="14" fontId="38" fillId="24" borderId="368" xfId="1" applyNumberFormat="1" applyFont="1" applyFill="1" applyBorder="1" applyAlignment="1">
      <alignment horizontal="center" vertical="center"/>
    </xf>
    <xf numFmtId="2" fontId="38" fillId="5" borderId="393" xfId="1" applyNumberFormat="1" applyFont="1" applyFill="1" applyBorder="1" applyAlignment="1">
      <alignment horizontal="center" vertical="center"/>
    </xf>
    <xf numFmtId="2" fontId="38" fillId="24" borderId="392" xfId="1" applyNumberFormat="1" applyFont="1" applyFill="1" applyBorder="1" applyAlignment="1">
      <alignment horizontal="center" vertical="center"/>
    </xf>
    <xf numFmtId="166" fontId="33" fillId="0" borderId="231" xfId="1" applyNumberFormat="1" applyFont="1" applyFill="1" applyBorder="1" applyAlignment="1">
      <alignment horizontal="center" vertical="center"/>
    </xf>
    <xf numFmtId="0" fontId="109" fillId="24" borderId="8" xfId="15" applyFont="1" applyFill="1" applyBorder="1" applyAlignment="1">
      <alignment horizontal="left" vertical="center"/>
    </xf>
    <xf numFmtId="3" fontId="17" fillId="0" borderId="102" xfId="1" applyNumberFormat="1" applyFont="1" applyFill="1" applyBorder="1" applyAlignment="1">
      <alignment horizontal="center" vertical="center"/>
    </xf>
    <xf numFmtId="3" fontId="17" fillId="0" borderId="300" xfId="1" applyNumberFormat="1" applyFont="1" applyFill="1" applyBorder="1" applyAlignment="1">
      <alignment horizontal="center"/>
    </xf>
    <xf numFmtId="3" fontId="17" fillId="0" borderId="301" xfId="1" applyNumberFormat="1" applyFont="1" applyFill="1" applyBorder="1" applyAlignment="1">
      <alignment horizontal="center"/>
    </xf>
    <xf numFmtId="3" fontId="17" fillId="0" borderId="299" xfId="1" applyNumberFormat="1" applyFont="1" applyFill="1" applyBorder="1" applyAlignment="1">
      <alignment horizontal="center"/>
    </xf>
    <xf numFmtId="3" fontId="17" fillId="0" borderId="357" xfId="1" applyNumberFormat="1" applyFont="1" applyFill="1" applyBorder="1" applyAlignment="1">
      <alignment horizontal="center" vertical="center"/>
    </xf>
    <xf numFmtId="3" fontId="38" fillId="0" borderId="357" xfId="1" applyNumberFormat="1" applyFont="1" applyFill="1" applyBorder="1" applyAlignment="1">
      <alignment horizontal="center" vertical="center"/>
    </xf>
    <xf numFmtId="3" fontId="38" fillId="0" borderId="368" xfId="1" applyNumberFormat="1" applyFont="1" applyFill="1" applyBorder="1" applyAlignment="1">
      <alignment horizontal="center" vertical="center"/>
    </xf>
    <xf numFmtId="3" fontId="17" fillId="0" borderId="368" xfId="1" applyNumberFormat="1" applyFont="1" applyFill="1" applyBorder="1" applyAlignment="1">
      <alignment horizontal="center" vertical="center"/>
    </xf>
    <xf numFmtId="3" fontId="38" fillId="0" borderId="367" xfId="1" applyNumberFormat="1" applyFont="1" applyFill="1" applyBorder="1" applyAlignment="1">
      <alignment horizontal="center" vertical="center"/>
    </xf>
    <xf numFmtId="3" fontId="17" fillId="0" borderId="367" xfId="1" applyNumberFormat="1" applyFont="1" applyFill="1" applyBorder="1" applyAlignment="1">
      <alignment horizontal="center" vertical="center"/>
    </xf>
    <xf numFmtId="3" fontId="17" fillId="0" borderId="401" xfId="1" applyNumberFormat="1" applyFont="1" applyFill="1" applyBorder="1" applyAlignment="1">
      <alignment horizontal="center" vertical="center"/>
    </xf>
    <xf numFmtId="3" fontId="46" fillId="0" borderId="0" xfId="0" applyNumberFormat="1" applyFont="1" applyAlignment="1">
      <alignment horizontal="center"/>
    </xf>
    <xf numFmtId="3" fontId="131" fillId="0" borderId="0" xfId="0" applyNumberFormat="1" applyFont="1" applyAlignment="1">
      <alignment horizontal="center" vertical="center"/>
    </xf>
    <xf numFmtId="0" fontId="117" fillId="24" borderId="0" xfId="1" applyFont="1" applyFill="1" applyBorder="1" applyAlignment="1">
      <alignment horizontal="center"/>
    </xf>
    <xf numFmtId="0" fontId="59" fillId="0" borderId="474" xfId="1" applyFont="1" applyFill="1" applyBorder="1" applyAlignment="1">
      <alignment horizontal="center" vertical="center"/>
    </xf>
    <xf numFmtId="3" fontId="69" fillId="0" borderId="475" xfId="1" applyNumberFormat="1" applyFont="1" applyFill="1" applyBorder="1" applyAlignment="1">
      <alignment horizontal="center" vertical="center"/>
    </xf>
    <xf numFmtId="3" fontId="45" fillId="0" borderId="475" xfId="1" applyNumberFormat="1" applyFont="1" applyFill="1" applyBorder="1" applyAlignment="1">
      <alignment horizontal="center" vertical="center"/>
    </xf>
    <xf numFmtId="0" fontId="104" fillId="0" borderId="5" xfId="15" applyFont="1" applyFill="1" applyBorder="1" applyAlignment="1">
      <alignment horizontal="left" vertical="center"/>
    </xf>
    <xf numFmtId="0" fontId="45" fillId="0" borderId="202" xfId="1" applyFont="1" applyFill="1" applyBorder="1" applyAlignment="1">
      <alignment vertical="center"/>
    </xf>
    <xf numFmtId="0" fontId="104" fillId="0" borderId="59" xfId="15" applyFont="1" applyFill="1" applyBorder="1" applyAlignment="1">
      <alignment horizontal="left" vertical="center"/>
    </xf>
    <xf numFmtId="0" fontId="82" fillId="0" borderId="48" xfId="15" applyFont="1" applyFill="1" applyBorder="1" applyAlignment="1">
      <alignment horizontal="left" vertical="center"/>
    </xf>
    <xf numFmtId="0" fontId="45" fillId="0" borderId="201" xfId="1" applyFont="1" applyFill="1" applyBorder="1" applyAlignment="1">
      <alignment vertical="center"/>
    </xf>
    <xf numFmtId="0" fontId="104" fillId="0" borderId="199" xfId="15" applyFont="1" applyFill="1" applyBorder="1" applyAlignment="1">
      <alignment horizontal="left" vertical="center"/>
    </xf>
    <xf numFmtId="0" fontId="104" fillId="0" borderId="464" xfId="15" applyFont="1" applyFill="1" applyBorder="1" applyAlignment="1">
      <alignment horizontal="left" vertical="center"/>
    </xf>
    <xf numFmtId="0" fontId="104" fillId="0" borderId="118" xfId="15" applyFont="1" applyFill="1" applyBorder="1" applyAlignment="1">
      <alignment horizontal="left" vertical="center"/>
    </xf>
    <xf numFmtId="0" fontId="45" fillId="0" borderId="109" xfId="1" applyFont="1" applyFill="1" applyBorder="1" applyAlignment="1">
      <alignment horizontal="left" vertical="center"/>
    </xf>
    <xf numFmtId="0" fontId="82" fillId="3" borderId="197" xfId="15" applyFont="1" applyFill="1" applyBorder="1" applyAlignment="1">
      <alignment horizontal="left" vertical="center"/>
    </xf>
    <xf numFmtId="0" fontId="104" fillId="0" borderId="383" xfId="15" applyFont="1" applyFill="1" applyBorder="1" applyAlignment="1">
      <alignment horizontal="left" vertical="center"/>
    </xf>
    <xf numFmtId="0" fontId="45" fillId="0" borderId="197" xfId="1" applyFont="1" applyFill="1" applyBorder="1" applyAlignment="1">
      <alignment horizontal="left" vertical="center"/>
    </xf>
    <xf numFmtId="0" fontId="69" fillId="3" borderId="201" xfId="1" applyFont="1" applyFill="1" applyBorder="1" applyAlignment="1">
      <alignment horizontal="left" vertical="center"/>
    </xf>
    <xf numFmtId="0" fontId="104" fillId="0" borderId="412" xfId="15" applyFont="1" applyFill="1" applyBorder="1" applyAlignment="1">
      <alignment horizontal="left" vertical="center"/>
    </xf>
    <xf numFmtId="3" fontId="45" fillId="0" borderId="5" xfId="1" applyNumberFormat="1" applyFont="1" applyFill="1" applyBorder="1" applyAlignment="1">
      <alignment horizontal="left" vertical="center"/>
    </xf>
    <xf numFmtId="0" fontId="69" fillId="0" borderId="218" xfId="1" applyFont="1" applyFill="1" applyBorder="1" applyAlignment="1">
      <alignment horizontal="left" vertical="center"/>
    </xf>
    <xf numFmtId="169" fontId="17" fillId="0" borderId="476" xfId="1" applyNumberFormat="1" applyFont="1" applyFill="1" applyBorder="1" applyAlignment="1">
      <alignment horizontal="right" vertical="center"/>
    </xf>
    <xf numFmtId="0" fontId="49" fillId="0" borderId="0" xfId="0" applyFont="1" applyAlignment="1">
      <alignment horizontal="center"/>
    </xf>
    <xf numFmtId="0" fontId="82" fillId="0" borderId="468" xfId="15" applyFont="1" applyFill="1" applyBorder="1" applyAlignment="1">
      <alignment horizontal="left" vertical="center"/>
    </xf>
    <xf numFmtId="3" fontId="45" fillId="0" borderId="161" xfId="1" applyNumberFormat="1" applyFont="1" applyFill="1" applyBorder="1" applyAlignment="1">
      <alignment horizontal="left" vertical="center"/>
    </xf>
    <xf numFmtId="0" fontId="45" fillId="0" borderId="214" xfId="1" applyFont="1" applyFill="1" applyBorder="1" applyAlignment="1">
      <alignment horizontal="left" vertical="center"/>
    </xf>
    <xf numFmtId="0" fontId="104" fillId="0" borderId="149" xfId="15" applyFont="1" applyFill="1" applyBorder="1" applyAlignment="1">
      <alignment horizontal="left" vertical="center"/>
    </xf>
    <xf numFmtId="0" fontId="82" fillId="0" borderId="477" xfId="15" applyFont="1" applyFill="1" applyBorder="1" applyAlignment="1">
      <alignment horizontal="left" vertical="center"/>
    </xf>
    <xf numFmtId="0" fontId="82" fillId="0" borderId="59" xfId="15" applyFont="1" applyFill="1" applyBorder="1" applyAlignment="1">
      <alignment vertical="center"/>
    </xf>
    <xf numFmtId="0" fontId="112" fillId="4" borderId="287" xfId="15" applyFont="1" applyFill="1" applyBorder="1" applyAlignment="1">
      <alignment horizontal="left" vertical="center"/>
    </xf>
    <xf numFmtId="3" fontId="17" fillId="0" borderId="426" xfId="1" applyNumberFormat="1" applyFont="1" applyFill="1" applyBorder="1" applyAlignment="1">
      <alignment horizontal="center"/>
    </xf>
    <xf numFmtId="3" fontId="61" fillId="0" borderId="0" xfId="0" applyNumberFormat="1" applyFont="1" applyAlignment="1">
      <alignment horizontal="center"/>
    </xf>
    <xf numFmtId="0" fontId="60" fillId="0" borderId="0" xfId="0" applyFont="1" applyBorder="1"/>
    <xf numFmtId="0" fontId="0" fillId="0" borderId="0" xfId="0" applyBorder="1"/>
    <xf numFmtId="0" fontId="59" fillId="0" borderId="473" xfId="1" applyFont="1" applyFill="1" applyBorder="1" applyAlignment="1">
      <alignment horizontal="center" vertical="center"/>
    </xf>
    <xf numFmtId="0" fontId="62" fillId="0" borderId="0" xfId="15" applyFont="1" applyFill="1" applyAlignment="1" applyProtection="1">
      <alignment horizontal="center"/>
    </xf>
    <xf numFmtId="0" fontId="49" fillId="0" borderId="0" xfId="0" quotePrefix="1" applyFont="1" applyFill="1" applyAlignment="1">
      <alignment horizontal="center"/>
    </xf>
    <xf numFmtId="0" fontId="104" fillId="4" borderId="402" xfId="15" applyFont="1" applyFill="1" applyBorder="1" applyAlignment="1">
      <alignment horizontal="left" vertical="center"/>
    </xf>
    <xf numFmtId="0" fontId="45" fillId="0" borderId="414" xfId="15" applyFont="1" applyFill="1" applyBorder="1" applyAlignment="1">
      <alignment horizontal="left" vertical="center"/>
    </xf>
    <xf numFmtId="0" fontId="48" fillId="0" borderId="85" xfId="1" applyFont="1" applyFill="1" applyBorder="1" applyAlignment="1">
      <alignment vertical="center"/>
    </xf>
    <xf numFmtId="0" fontId="59" fillId="0" borderId="479" xfId="1" applyFont="1" applyFill="1" applyBorder="1" applyAlignment="1">
      <alignment horizontal="center" vertical="center"/>
    </xf>
    <xf numFmtId="3" fontId="46" fillId="0" borderId="478" xfId="1" applyNumberFormat="1" applyFont="1" applyFill="1" applyBorder="1" applyAlignment="1">
      <alignment horizontal="center" vertical="center"/>
    </xf>
    <xf numFmtId="3" fontId="45" fillId="0" borderId="478" xfId="1" applyNumberFormat="1" applyFont="1" applyFill="1" applyBorder="1" applyAlignment="1">
      <alignment horizontal="center" vertical="center"/>
    </xf>
    <xf numFmtId="3" fontId="69" fillId="0" borderId="478" xfId="1" applyNumberFormat="1" applyFont="1" applyFill="1" applyBorder="1" applyAlignment="1">
      <alignment horizontal="center" vertical="center"/>
    </xf>
    <xf numFmtId="0" fontId="59" fillId="35" borderId="8" xfId="1" applyFont="1" applyFill="1" applyBorder="1" applyAlignment="1">
      <alignment horizontal="center"/>
    </xf>
    <xf numFmtId="3" fontId="17" fillId="4" borderId="175" xfId="1" applyNumberFormat="1" applyFont="1" applyFill="1" applyBorder="1" applyAlignment="1">
      <alignment horizontal="center" vertical="center"/>
    </xf>
    <xf numFmtId="3" fontId="17" fillId="34" borderId="258" xfId="1" applyNumberFormat="1" applyFont="1" applyFill="1" applyBorder="1" applyAlignment="1">
      <alignment horizontal="center" vertical="center"/>
    </xf>
    <xf numFmtId="3" fontId="38" fillId="8" borderId="325" xfId="1" applyNumberFormat="1" applyFont="1" applyFill="1" applyBorder="1" applyAlignment="1">
      <alignment horizontal="center" vertical="center"/>
    </xf>
    <xf numFmtId="174" fontId="16" fillId="0" borderId="0" xfId="1" applyNumberFormat="1" applyFont="1" applyFill="1" applyAlignment="1">
      <alignment horizontal="left" vertical="center"/>
    </xf>
    <xf numFmtId="0" fontId="11" fillId="0" borderId="0" xfId="1" applyFont="1" applyFill="1" applyAlignment="1">
      <alignment horizontal="left" vertical="center"/>
    </xf>
    <xf numFmtId="0" fontId="17" fillId="0" borderId="0" xfId="1" applyFont="1" applyBorder="1" applyAlignment="1">
      <alignment vertical="center"/>
    </xf>
    <xf numFmtId="0" fontId="17" fillId="0" borderId="0" xfId="1" applyFont="1" applyAlignment="1">
      <alignment vertical="center"/>
    </xf>
    <xf numFmtId="0" fontId="59" fillId="35" borderId="8" xfId="1" applyFont="1" applyFill="1" applyBorder="1" applyAlignment="1">
      <alignment horizontal="center" vertical="center"/>
    </xf>
    <xf numFmtId="0" fontId="59" fillId="0" borderId="480" xfId="1" applyFont="1" applyFill="1" applyBorder="1" applyAlignment="1">
      <alignment horizontal="center" vertical="center"/>
    </xf>
    <xf numFmtId="0" fontId="82" fillId="0" borderId="8" xfId="15" applyFont="1" applyFill="1" applyBorder="1" applyAlignment="1">
      <alignment horizontal="left" vertical="center"/>
    </xf>
    <xf numFmtId="0" fontId="59" fillId="0" borderId="478" xfId="1" applyFont="1" applyFill="1" applyBorder="1" applyAlignment="1">
      <alignment horizontal="center" vertical="center"/>
    </xf>
    <xf numFmtId="169" fontId="17" fillId="0" borderId="478" xfId="1" applyNumberFormat="1" applyFont="1" applyFill="1" applyBorder="1" applyAlignment="1">
      <alignment horizontal="right" vertical="center"/>
    </xf>
    <xf numFmtId="3" fontId="34" fillId="3" borderId="6" xfId="1" applyNumberFormat="1" applyFont="1" applyFill="1" applyBorder="1" applyAlignment="1">
      <alignment horizontal="center" vertical="center"/>
    </xf>
    <xf numFmtId="0" fontId="43" fillId="24" borderId="25" xfId="1" applyFont="1" applyFill="1" applyBorder="1" applyAlignment="1">
      <alignment horizontal="center" vertical="center"/>
    </xf>
    <xf numFmtId="0" fontId="49" fillId="0" borderId="0" xfId="0" applyFont="1" applyBorder="1" applyAlignment="1">
      <alignment horizontal="left" vertical="center"/>
    </xf>
    <xf numFmtId="0" fontId="49" fillId="0" borderId="0" xfId="0" applyFont="1" applyBorder="1" applyAlignment="1">
      <alignment horizontal="left" vertical="center"/>
    </xf>
    <xf numFmtId="3" fontId="45" fillId="0" borderId="483" xfId="1" applyNumberFormat="1" applyFont="1" applyFill="1" applyBorder="1" applyAlignment="1">
      <alignment horizontal="center" vertical="center"/>
    </xf>
    <xf numFmtId="3" fontId="45" fillId="0" borderId="484" xfId="1" applyNumberFormat="1" applyFont="1" applyFill="1" applyBorder="1" applyAlignment="1">
      <alignment horizontal="center" vertical="center"/>
    </xf>
    <xf numFmtId="3" fontId="45" fillId="0" borderId="485" xfId="1" applyNumberFormat="1" applyFont="1" applyFill="1" applyBorder="1" applyAlignment="1">
      <alignment horizontal="center" vertical="center"/>
    </xf>
    <xf numFmtId="3" fontId="45" fillId="0" borderId="482" xfId="1" applyNumberFormat="1" applyFont="1" applyFill="1" applyBorder="1" applyAlignment="1">
      <alignment horizontal="center" vertical="center"/>
    </xf>
    <xf numFmtId="3" fontId="45" fillId="0" borderId="470" xfId="1" applyNumberFormat="1" applyFont="1" applyFill="1" applyBorder="1" applyAlignment="1">
      <alignment horizontal="center" vertical="center"/>
    </xf>
    <xf numFmtId="0" fontId="83" fillId="0" borderId="295" xfId="15" applyFont="1" applyFill="1" applyBorder="1" applyAlignment="1">
      <alignment horizontal="left" vertical="center"/>
    </xf>
    <xf numFmtId="3" fontId="45" fillId="0" borderId="420" xfId="1" applyNumberFormat="1" applyFont="1" applyFill="1" applyBorder="1" applyAlignment="1">
      <alignment horizontal="left" vertical="center"/>
    </xf>
    <xf numFmtId="3" fontId="45" fillId="0" borderId="441" xfId="1" applyNumberFormat="1" applyFont="1" applyFill="1" applyBorder="1" applyAlignment="1">
      <alignment horizontal="center" vertical="center"/>
    </xf>
    <xf numFmtId="3" fontId="45" fillId="0" borderId="460" xfId="1" applyNumberFormat="1" applyFont="1" applyFill="1" applyBorder="1" applyAlignment="1">
      <alignment horizontal="center" vertical="center"/>
    </xf>
    <xf numFmtId="3" fontId="45" fillId="0" borderId="457" xfId="1" applyNumberFormat="1" applyFont="1" applyFill="1" applyBorder="1" applyAlignment="1">
      <alignment horizontal="center" vertical="center"/>
    </xf>
    <xf numFmtId="3" fontId="45" fillId="0" borderId="443" xfId="1" applyNumberFormat="1" applyFont="1" applyFill="1" applyBorder="1" applyAlignment="1">
      <alignment horizontal="center" vertical="center"/>
    </xf>
    <xf numFmtId="3" fontId="45" fillId="0" borderId="456" xfId="1" applyNumberFormat="1" applyFont="1" applyFill="1" applyBorder="1" applyAlignment="1">
      <alignment horizontal="center" vertical="center"/>
    </xf>
    <xf numFmtId="3" fontId="45" fillId="0" borderId="454" xfId="1" applyNumberFormat="1" applyFont="1" applyFill="1" applyBorder="1" applyAlignment="1">
      <alignment horizontal="center" vertical="center"/>
    </xf>
    <xf numFmtId="3" fontId="45" fillId="0" borderId="452" xfId="1" applyNumberFormat="1" applyFont="1" applyFill="1" applyBorder="1" applyAlignment="1">
      <alignment horizontal="center" vertical="center"/>
    </xf>
    <xf numFmtId="3" fontId="45" fillId="0" borderId="461" xfId="1" applyNumberFormat="1" applyFont="1" applyFill="1" applyBorder="1" applyAlignment="1">
      <alignment horizontal="center" vertical="center"/>
    </xf>
    <xf numFmtId="3" fontId="45" fillId="0" borderId="440" xfId="1" applyNumberFormat="1" applyFont="1" applyFill="1" applyBorder="1" applyAlignment="1">
      <alignment horizontal="center" vertical="center"/>
    </xf>
    <xf numFmtId="3" fontId="45" fillId="0" borderId="448" xfId="1" applyNumberFormat="1" applyFont="1" applyFill="1" applyBorder="1" applyAlignment="1">
      <alignment horizontal="center" vertical="center"/>
    </xf>
    <xf numFmtId="0" fontId="46" fillId="0" borderId="402" xfId="1" applyFont="1" applyFill="1" applyBorder="1" applyAlignment="1">
      <alignment horizontal="center"/>
    </xf>
    <xf numFmtId="0" fontId="45" fillId="0" borderId="59" xfId="15" applyFont="1" applyFill="1" applyBorder="1" applyAlignment="1">
      <alignment horizontal="left" vertical="center"/>
    </xf>
    <xf numFmtId="0" fontId="136" fillId="0" borderId="81" xfId="15" applyFont="1" applyFill="1" applyBorder="1" applyAlignment="1">
      <alignment horizontal="left" vertical="center"/>
    </xf>
    <xf numFmtId="0" fontId="69" fillId="0" borderId="337" xfId="1" applyFont="1" applyFill="1" applyBorder="1" applyAlignment="1">
      <alignment horizontal="center" vertical="center"/>
    </xf>
    <xf numFmtId="0" fontId="82" fillId="0" borderId="59" xfId="15" applyFont="1" applyBorder="1"/>
    <xf numFmtId="3" fontId="45" fillId="0" borderId="468" xfId="1" applyNumberFormat="1" applyFont="1" applyFill="1" applyBorder="1" applyAlignment="1">
      <alignment horizontal="center" vertical="center"/>
    </xf>
    <xf numFmtId="0" fontId="46" fillId="0" borderId="486" xfId="1" applyFont="1" applyFill="1" applyBorder="1" applyAlignment="1">
      <alignment horizontal="center"/>
    </xf>
    <xf numFmtId="0" fontId="59" fillId="0" borderId="487" xfId="1" applyFont="1" applyFill="1" applyBorder="1" applyAlignment="1">
      <alignment horizontal="center" vertical="center"/>
    </xf>
    <xf numFmtId="14" fontId="38" fillId="34" borderId="55" xfId="1" applyNumberFormat="1" applyFont="1" applyFill="1" applyBorder="1" applyAlignment="1">
      <alignment horizontal="center" vertical="center"/>
    </xf>
    <xf numFmtId="3" fontId="38" fillId="0" borderId="470" xfId="1" applyNumberFormat="1" applyFont="1" applyFill="1" applyBorder="1" applyAlignment="1">
      <alignment horizontal="center" vertical="center"/>
    </xf>
    <xf numFmtId="2" fontId="38" fillId="29" borderId="488" xfId="1" applyNumberFormat="1" applyFont="1" applyFill="1" applyBorder="1" applyAlignment="1">
      <alignment horizontal="center" vertical="center"/>
    </xf>
    <xf numFmtId="3" fontId="39" fillId="26" borderId="332" xfId="1" applyNumberFormat="1" applyFont="1" applyFill="1" applyBorder="1" applyAlignment="1">
      <alignment horizontal="center" vertical="center"/>
    </xf>
    <xf numFmtId="3" fontId="17" fillId="25" borderId="242" xfId="1" applyNumberFormat="1" applyFont="1" applyFill="1" applyBorder="1" applyAlignment="1">
      <alignment horizontal="center" vertical="center"/>
    </xf>
    <xf numFmtId="3" fontId="39" fillId="25" borderId="27" xfId="1" applyNumberFormat="1" applyFont="1" applyFill="1" applyBorder="1" applyAlignment="1">
      <alignment horizontal="center" vertical="center"/>
    </xf>
    <xf numFmtId="3" fontId="106" fillId="0" borderId="64" xfId="1" applyNumberFormat="1" applyFont="1" applyFill="1" applyBorder="1" applyAlignment="1">
      <alignment horizontal="center" vertical="center"/>
    </xf>
    <xf numFmtId="3" fontId="17" fillId="0" borderId="470" xfId="1" applyNumberFormat="1" applyFont="1" applyFill="1" applyBorder="1" applyAlignment="1">
      <alignment horizontal="center" vertical="center"/>
    </xf>
    <xf numFmtId="3" fontId="38" fillId="8" borderId="245" xfId="1" applyNumberFormat="1" applyFont="1" applyFill="1" applyBorder="1" applyAlignment="1">
      <alignment horizontal="center" vertical="center"/>
    </xf>
    <xf numFmtId="0" fontId="59" fillId="24" borderId="4" xfId="1" applyFont="1" applyFill="1" applyBorder="1" applyAlignment="1">
      <alignment horizontal="center"/>
    </xf>
    <xf numFmtId="3" fontId="17" fillId="24" borderId="285" xfId="1" applyNumberFormat="1" applyFont="1" applyFill="1" applyBorder="1" applyAlignment="1">
      <alignment horizontal="center" vertical="center"/>
    </xf>
    <xf numFmtId="3" fontId="38" fillId="25" borderId="24" xfId="1" applyNumberFormat="1" applyFont="1" applyFill="1" applyBorder="1" applyAlignment="1">
      <alignment horizontal="center" vertical="center"/>
    </xf>
    <xf numFmtId="2" fontId="38" fillId="35" borderId="106" xfId="1" applyNumberFormat="1" applyFont="1" applyFill="1" applyBorder="1" applyAlignment="1">
      <alignment horizontal="center" vertical="center"/>
    </xf>
    <xf numFmtId="3" fontId="17" fillId="0" borderId="244" xfId="1" applyNumberFormat="1" applyFont="1" applyFill="1" applyBorder="1" applyAlignment="1">
      <alignment horizontal="center" vertical="center"/>
    </xf>
    <xf numFmtId="3" fontId="38" fillId="52" borderId="317" xfId="1" applyNumberFormat="1" applyFont="1" applyFill="1" applyBorder="1" applyAlignment="1">
      <alignment horizontal="left" vertical="center"/>
    </xf>
    <xf numFmtId="172" fontId="38" fillId="52" borderId="317" xfId="1" applyNumberFormat="1" applyFont="1" applyFill="1" applyBorder="1" applyAlignment="1">
      <alignment horizontal="center" vertical="center"/>
    </xf>
    <xf numFmtId="14" fontId="38" fillId="52" borderId="317" xfId="1" applyNumberFormat="1" applyFont="1" applyFill="1" applyBorder="1" applyAlignment="1">
      <alignment horizontal="center" vertical="center"/>
    </xf>
    <xf numFmtId="0" fontId="59" fillId="0" borderId="95" xfId="1" applyFont="1" applyFill="1" applyBorder="1" applyAlignment="1">
      <alignment horizontal="center" vertical="center"/>
    </xf>
    <xf numFmtId="0" fontId="104" fillId="24" borderId="77" xfId="15" applyFont="1" applyFill="1" applyBorder="1" applyAlignment="1">
      <alignment horizontal="left" vertical="center"/>
    </xf>
    <xf numFmtId="3" fontId="39" fillId="26" borderId="326" xfId="1" applyNumberFormat="1" applyFont="1" applyFill="1" applyBorder="1" applyAlignment="1">
      <alignment horizontal="center" vertical="center"/>
    </xf>
    <xf numFmtId="3" fontId="38" fillId="34" borderId="55" xfId="1" applyNumberFormat="1" applyFont="1" applyFill="1" applyBorder="1" applyAlignment="1">
      <alignment horizontal="left" vertical="center"/>
    </xf>
    <xf numFmtId="0" fontId="45" fillId="0" borderId="149" xfId="1" applyFont="1" applyFill="1" applyBorder="1" applyAlignment="1">
      <alignment vertical="center"/>
    </xf>
    <xf numFmtId="0" fontId="69" fillId="0" borderId="47" xfId="1" applyFont="1" applyFill="1" applyBorder="1" applyAlignment="1">
      <alignment horizontal="left" vertical="center"/>
    </xf>
    <xf numFmtId="0" fontId="104" fillId="25" borderId="77" xfId="15" applyFont="1" applyFill="1" applyBorder="1" applyAlignment="1">
      <alignment horizontal="left" vertical="center"/>
    </xf>
    <xf numFmtId="14" fontId="38" fillId="34" borderId="64" xfId="1" quotePrefix="1" applyNumberFormat="1" applyFont="1" applyFill="1" applyBorder="1" applyAlignment="1">
      <alignment horizontal="center" vertical="center"/>
    </xf>
    <xf numFmtId="0" fontId="49" fillId="0" borderId="0" xfId="0" applyFont="1" applyBorder="1" applyAlignment="1">
      <alignment horizontal="left" vertical="center"/>
    </xf>
    <xf numFmtId="3" fontId="49" fillId="0" borderId="0" xfId="0" applyNumberFormat="1" applyFont="1"/>
    <xf numFmtId="3" fontId="45" fillId="0" borderId="492" xfId="1" applyNumberFormat="1" applyFont="1" applyFill="1" applyBorder="1" applyAlignment="1">
      <alignment horizontal="center" vertical="center"/>
    </xf>
    <xf numFmtId="3" fontId="45" fillId="0" borderId="491" xfId="1" applyNumberFormat="1" applyFont="1" applyFill="1" applyBorder="1" applyAlignment="1">
      <alignment horizontal="center" vertical="center"/>
    </xf>
    <xf numFmtId="0" fontId="46" fillId="0" borderId="487" xfId="1" applyFont="1" applyFill="1" applyBorder="1" applyAlignment="1">
      <alignment horizontal="center"/>
    </xf>
    <xf numFmtId="169" fontId="17" fillId="0" borderId="484" xfId="1" applyNumberFormat="1" applyFont="1" applyFill="1" applyBorder="1" applyAlignment="1">
      <alignment horizontal="right" vertical="center"/>
    </xf>
    <xf numFmtId="169" fontId="17" fillId="0" borderId="430" xfId="1" applyNumberFormat="1" applyFont="1" applyFill="1" applyBorder="1" applyAlignment="1">
      <alignment horizontal="right" vertical="center"/>
    </xf>
    <xf numFmtId="0" fontId="6" fillId="0" borderId="0" xfId="15" applyFill="1" applyBorder="1" applyAlignment="1">
      <alignment vertical="center"/>
    </xf>
    <xf numFmtId="0" fontId="45" fillId="0" borderId="481" xfId="1" applyFont="1" applyFill="1" applyBorder="1" applyAlignment="1">
      <alignment vertical="center"/>
    </xf>
    <xf numFmtId="3" fontId="38" fillId="4" borderId="386" xfId="1" applyNumberFormat="1" applyFont="1" applyFill="1" applyBorder="1" applyAlignment="1">
      <alignment horizontal="left" vertical="center"/>
    </xf>
    <xf numFmtId="172" fontId="38" fillId="4" borderId="386" xfId="1" applyNumberFormat="1" applyFont="1" applyFill="1" applyBorder="1" applyAlignment="1">
      <alignment horizontal="center" vertical="center"/>
    </xf>
    <xf numFmtId="14" fontId="38" fillId="4" borderId="386" xfId="1" applyNumberFormat="1" applyFont="1" applyFill="1" applyBorder="1" applyAlignment="1">
      <alignment horizontal="center" vertical="center"/>
    </xf>
    <xf numFmtId="2" fontId="38" fillId="4" borderId="387" xfId="1" applyNumberFormat="1" applyFont="1" applyFill="1" applyBorder="1" applyAlignment="1">
      <alignment horizontal="center" vertical="center"/>
    </xf>
    <xf numFmtId="3" fontId="17" fillId="0" borderId="491" xfId="1" applyNumberFormat="1" applyFont="1" applyFill="1" applyBorder="1" applyAlignment="1">
      <alignment horizontal="center" vertical="center"/>
    </xf>
    <xf numFmtId="3" fontId="38" fillId="4" borderId="491" xfId="1" applyNumberFormat="1" applyFont="1" applyFill="1" applyBorder="1" applyAlignment="1">
      <alignment horizontal="left" vertical="center"/>
    </xf>
    <xf numFmtId="172" fontId="38" fillId="4" borderId="491" xfId="1" applyNumberFormat="1" applyFont="1" applyFill="1" applyBorder="1" applyAlignment="1">
      <alignment horizontal="center" vertical="center"/>
    </xf>
    <xf numFmtId="14" fontId="38" fillId="4" borderId="491" xfId="1" applyNumberFormat="1" applyFont="1" applyFill="1" applyBorder="1" applyAlignment="1">
      <alignment horizontal="center" vertical="center"/>
    </xf>
    <xf numFmtId="2" fontId="38" fillId="4" borderId="488" xfId="1" applyNumberFormat="1" applyFont="1" applyFill="1" applyBorder="1" applyAlignment="1">
      <alignment horizontal="center" vertical="center"/>
    </xf>
    <xf numFmtId="3" fontId="38" fillId="52" borderId="301" xfId="1" applyNumberFormat="1" applyFont="1" applyFill="1" applyBorder="1" applyAlignment="1">
      <alignment horizontal="left" vertical="center"/>
    </xf>
    <xf numFmtId="172" fontId="38" fillId="52" borderId="301" xfId="1" applyNumberFormat="1" applyFont="1" applyFill="1" applyBorder="1" applyAlignment="1">
      <alignment horizontal="center" vertical="center"/>
    </xf>
    <xf numFmtId="14" fontId="38" fillId="52" borderId="301" xfId="1" applyNumberFormat="1" applyFont="1" applyFill="1" applyBorder="1" applyAlignment="1">
      <alignment horizontal="center" vertical="center"/>
    </xf>
    <xf numFmtId="3" fontId="17" fillId="4" borderId="305" xfId="1" applyNumberFormat="1" applyFont="1" applyFill="1" applyBorder="1" applyAlignment="1">
      <alignment horizontal="center" vertical="center"/>
    </xf>
    <xf numFmtId="0" fontId="49" fillId="0" borderId="0" xfId="0" applyFont="1" applyBorder="1" applyAlignment="1">
      <alignment horizontal="left" vertical="center"/>
    </xf>
    <xf numFmtId="0" fontId="69" fillId="0" borderId="487" xfId="1" applyFont="1" applyFill="1" applyBorder="1" applyAlignment="1">
      <alignment horizontal="center" vertical="center"/>
    </xf>
    <xf numFmtId="0" fontId="43" fillId="34" borderId="246" xfId="1" applyFont="1" applyFill="1" applyBorder="1" applyAlignment="1">
      <alignment horizontal="center" vertical="center"/>
    </xf>
    <xf numFmtId="0" fontId="43" fillId="24" borderId="21" xfId="1" applyFont="1" applyFill="1" applyBorder="1" applyAlignment="1">
      <alignment horizontal="center" vertical="center"/>
    </xf>
    <xf numFmtId="0" fontId="117" fillId="27" borderId="0" xfId="1" applyFont="1" applyFill="1" applyBorder="1" applyAlignment="1">
      <alignment horizontal="center"/>
    </xf>
    <xf numFmtId="3" fontId="17" fillId="25" borderId="325" xfId="1" applyNumberFormat="1" applyFont="1" applyFill="1" applyBorder="1" applyAlignment="1">
      <alignment horizontal="center" vertical="center"/>
    </xf>
    <xf numFmtId="3" fontId="39" fillId="52" borderId="278" xfId="1" applyNumberFormat="1" applyFont="1" applyFill="1" applyBorder="1" applyAlignment="1">
      <alignment horizontal="center" vertical="center"/>
    </xf>
    <xf numFmtId="3" fontId="17" fillId="26" borderId="64" xfId="1" applyNumberFormat="1" applyFont="1" applyFill="1" applyBorder="1" applyAlignment="1">
      <alignment horizontal="left" vertical="center"/>
    </xf>
    <xf numFmtId="3" fontId="17" fillId="26" borderId="64" xfId="1" applyNumberFormat="1" applyFont="1" applyFill="1" applyBorder="1" applyAlignment="1">
      <alignment horizontal="center" vertical="center"/>
    </xf>
    <xf numFmtId="172" fontId="38" fillId="25" borderId="24" xfId="1" applyNumberFormat="1" applyFont="1" applyFill="1" applyBorder="1" applyAlignment="1">
      <alignment horizontal="center" vertical="center"/>
    </xf>
    <xf numFmtId="3" fontId="17" fillId="52" borderId="290" xfId="1" applyNumberFormat="1" applyFont="1" applyFill="1" applyBorder="1" applyAlignment="1">
      <alignment horizontal="center" vertical="center"/>
    </xf>
    <xf numFmtId="3" fontId="17" fillId="52" borderId="321" xfId="1" applyNumberFormat="1" applyFont="1" applyFill="1" applyBorder="1" applyAlignment="1">
      <alignment horizontal="center" vertical="center"/>
    </xf>
    <xf numFmtId="3" fontId="17" fillId="8" borderId="301" xfId="1" applyNumberFormat="1" applyFont="1" applyFill="1" applyBorder="1" applyAlignment="1">
      <alignment horizontal="center" vertical="center"/>
    </xf>
    <xf numFmtId="0" fontId="89" fillId="0" borderId="0" xfId="1" applyFont="1" applyFill="1" applyBorder="1" applyAlignment="1">
      <alignment horizontal="left" vertical="center"/>
    </xf>
    <xf numFmtId="0" fontId="89" fillId="0" borderId="4" xfId="1" applyFont="1" applyFill="1" applyBorder="1" applyAlignment="1">
      <alignment horizontal="left" vertical="center"/>
    </xf>
    <xf numFmtId="166" fontId="53" fillId="0" borderId="111" xfId="1" applyNumberFormat="1" applyFont="1" applyFill="1" applyBorder="1" applyAlignment="1">
      <alignment horizontal="center" vertical="center"/>
    </xf>
    <xf numFmtId="3" fontId="63" fillId="0" borderId="111" xfId="1" applyNumberFormat="1" applyFont="1" applyFill="1" applyBorder="1" applyAlignment="1">
      <alignment horizontal="center" vertical="center"/>
    </xf>
    <xf numFmtId="49" fontId="63" fillId="4" borderId="64" xfId="1" applyNumberFormat="1" applyFont="1" applyFill="1" applyBorder="1" applyAlignment="1">
      <alignment horizontal="center" vertical="center"/>
    </xf>
    <xf numFmtId="3" fontId="74" fillId="4" borderId="64" xfId="1" applyNumberFormat="1" applyFont="1" applyFill="1" applyBorder="1" applyAlignment="1">
      <alignment horizontal="center" vertical="center"/>
    </xf>
    <xf numFmtId="0" fontId="74" fillId="0" borderId="8" xfId="1" applyFont="1" applyFill="1" applyBorder="1" applyAlignment="1">
      <alignment horizontal="right" vertical="center"/>
    </xf>
    <xf numFmtId="0" fontId="104" fillId="0" borderId="491" xfId="15" applyFont="1" applyFill="1" applyBorder="1" applyAlignment="1">
      <alignment horizontal="center" vertical="center" wrapText="1"/>
    </xf>
    <xf numFmtId="0" fontId="63" fillId="0" borderId="491" xfId="1" applyFont="1" applyFill="1" applyBorder="1" applyAlignment="1">
      <alignment horizontal="center" vertical="center"/>
    </xf>
    <xf numFmtId="0" fontId="63" fillId="19" borderId="491" xfId="1" applyFont="1" applyFill="1" applyBorder="1" applyAlignment="1">
      <alignment horizontal="center" vertical="center"/>
    </xf>
    <xf numFmtId="0" fontId="63" fillId="0" borderId="491" xfId="1" applyFont="1" applyFill="1" applyBorder="1" applyAlignment="1">
      <alignment horizontal="center" vertical="center" wrapText="1"/>
    </xf>
    <xf numFmtId="0" fontId="103" fillId="0" borderId="491" xfId="1" applyFont="1" applyFill="1" applyBorder="1" applyAlignment="1">
      <alignment horizontal="center" vertical="center" wrapText="1"/>
    </xf>
    <xf numFmtId="0" fontId="103" fillId="0" borderId="114" xfId="1" applyFont="1" applyFill="1" applyBorder="1" applyAlignment="1">
      <alignment horizontal="center" vertical="center"/>
    </xf>
    <xf numFmtId="0" fontId="63" fillId="0" borderId="8" xfId="1" applyFont="1" applyBorder="1"/>
    <xf numFmtId="3" fontId="63" fillId="0" borderId="55" xfId="1" applyNumberFormat="1" applyFont="1" applyFill="1" applyBorder="1" applyAlignment="1">
      <alignment horizontal="center" vertical="center"/>
    </xf>
    <xf numFmtId="166" fontId="53" fillId="11" borderId="55" xfId="1" applyNumberFormat="1" applyFont="1" applyFill="1" applyBorder="1" applyAlignment="1">
      <alignment horizontal="center" vertical="center"/>
    </xf>
    <xf numFmtId="3" fontId="63" fillId="11" borderId="55" xfId="1" applyNumberFormat="1" applyFont="1" applyFill="1" applyBorder="1" applyAlignment="1">
      <alignment horizontal="center" vertical="center"/>
    </xf>
    <xf numFmtId="0" fontId="63" fillId="4" borderId="386" xfId="1" applyFont="1" applyFill="1" applyBorder="1" applyAlignment="1">
      <alignment horizontal="left" vertical="center"/>
    </xf>
    <xf numFmtId="0" fontId="63" fillId="4" borderId="491" xfId="1" applyFont="1" applyFill="1" applyBorder="1" applyAlignment="1">
      <alignment horizontal="left" vertical="center"/>
    </xf>
    <xf numFmtId="49" fontId="63" fillId="4" borderId="491" xfId="1" applyNumberFormat="1" applyFont="1" applyFill="1" applyBorder="1" applyAlignment="1">
      <alignment horizontal="center" vertical="center"/>
    </xf>
    <xf numFmtId="3" fontId="74" fillId="4" borderId="491" xfId="1" applyNumberFormat="1" applyFont="1" applyFill="1" applyBorder="1" applyAlignment="1">
      <alignment horizontal="center" vertical="center"/>
    </xf>
    <xf numFmtId="3" fontId="74" fillId="15" borderId="491" xfId="1" applyNumberFormat="1" applyFont="1" applyFill="1" applyBorder="1" applyAlignment="1">
      <alignment horizontal="center" vertical="center"/>
    </xf>
    <xf numFmtId="49" fontId="63" fillId="6" borderId="491" xfId="1" applyNumberFormat="1" applyFont="1" applyFill="1" applyBorder="1" applyAlignment="1">
      <alignment horizontal="center" vertical="center"/>
    </xf>
    <xf numFmtId="3" fontId="74" fillId="6" borderId="491" xfId="1" applyNumberFormat="1" applyFont="1" applyFill="1" applyBorder="1" applyAlignment="1">
      <alignment horizontal="center" vertical="center"/>
    </xf>
    <xf numFmtId="3" fontId="74" fillId="7" borderId="491" xfId="1" applyNumberFormat="1" applyFont="1" applyFill="1" applyBorder="1" applyAlignment="1">
      <alignment horizontal="center" vertical="center"/>
    </xf>
    <xf numFmtId="3" fontId="63" fillId="0" borderId="494" xfId="1" applyNumberFormat="1" applyFont="1" applyFill="1" applyBorder="1" applyAlignment="1">
      <alignment horizontal="center" vertical="center"/>
    </xf>
    <xf numFmtId="3" fontId="63" fillId="0" borderId="491" xfId="1" applyNumberFormat="1" applyFont="1" applyFill="1" applyBorder="1" applyAlignment="1">
      <alignment horizontal="center" vertical="center"/>
    </xf>
    <xf numFmtId="49" fontId="63" fillId="4" borderId="386" xfId="1" applyNumberFormat="1" applyFont="1" applyFill="1" applyBorder="1" applyAlignment="1">
      <alignment horizontal="center" vertical="center"/>
    </xf>
    <xf numFmtId="3" fontId="74" fillId="4" borderId="494" xfId="1" applyNumberFormat="1" applyFont="1" applyFill="1" applyBorder="1" applyAlignment="1">
      <alignment horizontal="center" vertical="center"/>
    </xf>
    <xf numFmtId="0" fontId="74" fillId="0" borderId="493" xfId="1" applyFont="1" applyFill="1" applyBorder="1" applyAlignment="1">
      <alignment horizontal="center" vertical="center"/>
    </xf>
    <xf numFmtId="3" fontId="39" fillId="28" borderId="491" xfId="1" applyNumberFormat="1" applyFont="1" applyFill="1" applyBorder="1" applyAlignment="1">
      <alignment horizontal="center" vertical="center"/>
    </xf>
    <xf numFmtId="3" fontId="38" fillId="0" borderId="491" xfId="1" applyNumberFormat="1" applyFont="1" applyFill="1" applyBorder="1" applyAlignment="1">
      <alignment horizontal="center" vertical="center"/>
    </xf>
    <xf numFmtId="3" fontId="38" fillId="28" borderId="491" xfId="1" applyNumberFormat="1" applyFont="1" applyFill="1" applyBorder="1" applyAlignment="1">
      <alignment horizontal="left" vertical="center"/>
    </xf>
    <xf numFmtId="0" fontId="17" fillId="28" borderId="491" xfId="1" applyFont="1" applyFill="1" applyBorder="1" applyAlignment="1">
      <alignment horizontal="center" vertical="center"/>
    </xf>
    <xf numFmtId="172" fontId="38" fillId="28" borderId="491" xfId="1" applyNumberFormat="1" applyFont="1" applyFill="1" applyBorder="1" applyAlignment="1">
      <alignment horizontal="center" vertical="center"/>
    </xf>
    <xf numFmtId="14" fontId="38" fillId="28" borderId="491" xfId="1" applyNumberFormat="1" applyFont="1" applyFill="1" applyBorder="1" applyAlignment="1">
      <alignment horizontal="center" vertical="center"/>
    </xf>
    <xf numFmtId="3" fontId="38" fillId="34" borderId="365" xfId="1" applyNumberFormat="1" applyFont="1" applyFill="1" applyBorder="1" applyAlignment="1">
      <alignment horizontal="left" vertical="center"/>
    </xf>
    <xf numFmtId="0" fontId="17" fillId="34" borderId="365" xfId="1" applyFont="1" applyFill="1" applyBorder="1" applyAlignment="1">
      <alignment horizontal="center" vertical="center"/>
    </xf>
    <xf numFmtId="172" fontId="38" fillId="34" borderId="365" xfId="1" applyNumberFormat="1" applyFont="1" applyFill="1" applyBorder="1" applyAlignment="1">
      <alignment horizontal="center" vertical="center"/>
    </xf>
    <xf numFmtId="14" fontId="38" fillId="34" borderId="365" xfId="1" applyNumberFormat="1" applyFont="1" applyFill="1" applyBorder="1" applyAlignment="1">
      <alignment horizontal="center" vertical="center"/>
    </xf>
    <xf numFmtId="3" fontId="38" fillId="34" borderId="365" xfId="1" applyNumberFormat="1" applyFont="1" applyFill="1" applyBorder="1" applyAlignment="1">
      <alignment horizontal="center" vertical="center"/>
    </xf>
    <xf numFmtId="3" fontId="74" fillId="4" borderId="386" xfId="1" applyNumberFormat="1" applyFont="1" applyFill="1" applyBorder="1" applyAlignment="1">
      <alignment horizontal="center" vertical="center"/>
    </xf>
    <xf numFmtId="0" fontId="117" fillId="34" borderId="0" xfId="1" applyFont="1" applyFill="1" applyBorder="1" applyAlignment="1">
      <alignment horizontal="center"/>
    </xf>
    <xf numFmtId="0" fontId="59" fillId="3" borderId="0" xfId="1" applyFont="1" applyFill="1" applyBorder="1" applyAlignment="1">
      <alignment horizontal="center"/>
    </xf>
    <xf numFmtId="0" fontId="59" fillId="34" borderId="0" xfId="1" applyFont="1" applyFill="1" applyBorder="1" applyAlignment="1">
      <alignment horizontal="center"/>
    </xf>
    <xf numFmtId="0" fontId="59" fillId="4" borderId="498" xfId="1" applyFont="1" applyFill="1" applyBorder="1" applyAlignment="1">
      <alignment horizontal="center" vertical="center"/>
    </xf>
    <xf numFmtId="0" fontId="59" fillId="4" borderId="498" xfId="1" applyFont="1" applyFill="1" applyBorder="1" applyAlignment="1">
      <alignment horizontal="center"/>
    </xf>
    <xf numFmtId="0" fontId="59" fillId="4" borderId="8" xfId="1" applyFont="1" applyFill="1" applyBorder="1" applyAlignment="1">
      <alignment horizontal="center" vertical="center"/>
    </xf>
    <xf numFmtId="0" fontId="59" fillId="24" borderId="498" xfId="1" applyFont="1" applyFill="1" applyBorder="1" applyAlignment="1">
      <alignment horizontal="center" vertical="center"/>
    </xf>
    <xf numFmtId="0" fontId="117" fillId="24" borderId="498" xfId="1" applyFont="1" applyFill="1" applyBorder="1" applyAlignment="1">
      <alignment horizontal="center"/>
    </xf>
    <xf numFmtId="0" fontId="59" fillId="24" borderId="498" xfId="1" applyFont="1" applyFill="1" applyBorder="1" applyAlignment="1">
      <alignment horizontal="center"/>
    </xf>
    <xf numFmtId="0" fontId="59" fillId="27" borderId="0" xfId="1" applyFont="1" applyFill="1" applyBorder="1" applyAlignment="1">
      <alignment horizontal="center"/>
    </xf>
    <xf numFmtId="0" fontId="59" fillId="24" borderId="499" xfId="1" applyFont="1" applyFill="1" applyBorder="1" applyAlignment="1">
      <alignment horizontal="center" vertical="center"/>
    </xf>
    <xf numFmtId="0" fontId="59" fillId="25" borderId="0" xfId="1" applyFont="1" applyFill="1" applyBorder="1" applyAlignment="1">
      <alignment horizontal="center"/>
    </xf>
    <xf numFmtId="0" fontId="59" fillId="26" borderId="0" xfId="1" applyFont="1" applyFill="1" applyBorder="1" applyAlignment="1">
      <alignment horizontal="center"/>
    </xf>
    <xf numFmtId="0" fontId="59" fillId="25" borderId="498" xfId="1" applyFont="1" applyFill="1" applyBorder="1" applyAlignment="1">
      <alignment horizontal="center"/>
    </xf>
    <xf numFmtId="0" fontId="117" fillId="25" borderId="0" xfId="1" applyFont="1" applyFill="1" applyBorder="1" applyAlignment="1">
      <alignment horizontal="center"/>
    </xf>
    <xf numFmtId="0" fontId="59" fillId="34" borderId="498" xfId="1" applyFont="1" applyFill="1" applyBorder="1" applyAlignment="1">
      <alignment horizontal="center"/>
    </xf>
    <xf numFmtId="0" fontId="59" fillId="35" borderId="499" xfId="1" applyFont="1" applyFill="1" applyBorder="1" applyAlignment="1">
      <alignment horizontal="center" vertical="center"/>
    </xf>
    <xf numFmtId="0" fontId="59" fillId="34" borderId="8" xfId="1" applyFont="1" applyFill="1" applyBorder="1" applyAlignment="1">
      <alignment horizontal="center"/>
    </xf>
    <xf numFmtId="0" fontId="117" fillId="34" borderId="8" xfId="1" applyFont="1" applyFill="1" applyBorder="1" applyAlignment="1">
      <alignment horizontal="center"/>
    </xf>
    <xf numFmtId="0" fontId="59" fillId="34" borderId="4" xfId="1" applyFont="1" applyFill="1" applyBorder="1" applyAlignment="1">
      <alignment horizontal="center"/>
    </xf>
    <xf numFmtId="0" fontId="59" fillId="34" borderId="499" xfId="1" applyFont="1" applyFill="1" applyBorder="1" applyAlignment="1">
      <alignment horizontal="center"/>
    </xf>
    <xf numFmtId="0" fontId="59" fillId="35" borderId="498" xfId="1" applyFont="1" applyFill="1" applyBorder="1" applyAlignment="1">
      <alignment horizontal="center" vertical="center"/>
    </xf>
    <xf numFmtId="0" fontId="59" fillId="35" borderId="4" xfId="1" applyFont="1" applyFill="1" applyBorder="1" applyAlignment="1">
      <alignment horizontal="center" vertical="center"/>
    </xf>
    <xf numFmtId="0" fontId="59" fillId="28" borderId="8" xfId="1" applyFont="1" applyFill="1" applyBorder="1" applyAlignment="1">
      <alignment horizontal="center"/>
    </xf>
    <xf numFmtId="0" fontId="117" fillId="12" borderId="0" xfId="1" applyFont="1" applyFill="1" applyBorder="1" applyAlignment="1">
      <alignment horizontal="center"/>
    </xf>
    <xf numFmtId="0" fontId="59" fillId="12" borderId="0" xfId="1" applyFont="1" applyFill="1" applyBorder="1" applyAlignment="1">
      <alignment horizontal="center"/>
    </xf>
    <xf numFmtId="0" fontId="45" fillId="11" borderId="0" xfId="1" applyFont="1" applyFill="1" applyBorder="1" applyAlignment="1">
      <alignment horizontal="center" vertical="center"/>
    </xf>
    <xf numFmtId="0" fontId="59" fillId="11" borderId="0" xfId="1" applyFont="1" applyFill="1" applyBorder="1" applyAlignment="1">
      <alignment horizontal="center" vertical="center"/>
    </xf>
    <xf numFmtId="0" fontId="59" fillId="10" borderId="0" xfId="1" applyFont="1" applyFill="1" applyBorder="1" applyAlignment="1">
      <alignment horizontal="center"/>
    </xf>
    <xf numFmtId="0" fontId="117" fillId="11" borderId="498" xfId="1" applyFont="1" applyFill="1" applyBorder="1" applyAlignment="1">
      <alignment horizontal="center"/>
    </xf>
    <xf numFmtId="0" fontId="59" fillId="12" borderId="4" xfId="1" applyFont="1" applyFill="1" applyBorder="1" applyAlignment="1">
      <alignment horizontal="center"/>
    </xf>
    <xf numFmtId="0" fontId="59" fillId="11" borderId="0" xfId="1" applyFont="1" applyFill="1" applyBorder="1" applyAlignment="1">
      <alignment horizontal="center"/>
    </xf>
    <xf numFmtId="0" fontId="59" fillId="11" borderId="499" xfId="1" applyFont="1" applyFill="1" applyBorder="1" applyAlignment="1">
      <alignment horizontal="center"/>
    </xf>
    <xf numFmtId="0" fontId="45" fillId="11" borderId="8" xfId="1" applyFont="1" applyFill="1" applyBorder="1" applyAlignment="1">
      <alignment horizontal="center" vertical="center"/>
    </xf>
    <xf numFmtId="0" fontId="59" fillId="12" borderId="499" xfId="1" applyFont="1" applyFill="1" applyBorder="1" applyAlignment="1">
      <alignment horizontal="center"/>
    </xf>
    <xf numFmtId="0" fontId="117" fillId="11" borderId="8" xfId="1" applyFont="1" applyFill="1" applyBorder="1" applyAlignment="1">
      <alignment horizontal="center"/>
    </xf>
    <xf numFmtId="0" fontId="59" fillId="13" borderId="498" xfId="1" applyFont="1" applyFill="1" applyBorder="1" applyAlignment="1">
      <alignment horizontal="center"/>
    </xf>
    <xf numFmtId="0" fontId="117" fillId="14" borderId="0" xfId="1" applyFont="1" applyFill="1" applyBorder="1" applyAlignment="1">
      <alignment horizontal="center"/>
    </xf>
    <xf numFmtId="0" fontId="117" fillId="12" borderId="4" xfId="1" applyFont="1" applyFill="1" applyBorder="1" applyAlignment="1">
      <alignment horizontal="center"/>
    </xf>
    <xf numFmtId="0" fontId="59" fillId="11" borderId="4" xfId="1" applyFont="1" applyFill="1" applyBorder="1" applyAlignment="1">
      <alignment horizontal="center"/>
    </xf>
    <xf numFmtId="0" fontId="59" fillId="12" borderId="10" xfId="1" applyFont="1" applyFill="1" applyBorder="1" applyAlignment="1">
      <alignment horizontal="center"/>
    </xf>
    <xf numFmtId="166" fontId="33" fillId="3" borderId="496" xfId="1" applyNumberFormat="1" applyFont="1" applyFill="1" applyBorder="1" applyAlignment="1">
      <alignment horizontal="center" vertical="center"/>
    </xf>
    <xf numFmtId="166" fontId="23" fillId="12" borderId="326" xfId="1" applyNumberFormat="1" applyFont="1" applyFill="1" applyBorder="1" applyAlignment="1">
      <alignment horizontal="center" vertical="center"/>
    </xf>
    <xf numFmtId="166" fontId="23" fillId="12" borderId="18" xfId="1" applyNumberFormat="1" applyFont="1" applyFill="1" applyBorder="1" applyAlignment="1">
      <alignment horizontal="center" vertical="center"/>
    </xf>
    <xf numFmtId="166" fontId="40" fillId="11" borderId="326" xfId="1" applyNumberFormat="1" applyFont="1" applyFill="1" applyBorder="1" applyAlignment="1">
      <alignment horizontal="center" vertical="center"/>
    </xf>
    <xf numFmtId="166" fontId="33" fillId="11" borderId="326" xfId="1" applyNumberFormat="1" applyFont="1" applyFill="1" applyBorder="1" applyAlignment="1">
      <alignment horizontal="center" vertical="center"/>
    </xf>
    <xf numFmtId="166" fontId="40" fillId="11" borderId="497" xfId="1" applyNumberFormat="1" applyFont="1" applyFill="1" applyBorder="1" applyAlignment="1">
      <alignment horizontal="center" vertical="center"/>
    </xf>
    <xf numFmtId="166" fontId="33" fillId="11" borderId="497" xfId="1" applyNumberFormat="1" applyFont="1" applyFill="1" applyBorder="1" applyAlignment="1">
      <alignment horizontal="center" vertical="center"/>
    </xf>
    <xf numFmtId="166" fontId="35" fillId="11" borderId="326" xfId="1" applyNumberFormat="1" applyFont="1" applyFill="1" applyBorder="1" applyAlignment="1">
      <alignment horizontal="center" vertical="center"/>
    </xf>
    <xf numFmtId="166" fontId="40" fillId="11" borderId="356" xfId="1" applyNumberFormat="1" applyFont="1" applyFill="1" applyBorder="1" applyAlignment="1">
      <alignment horizontal="center" vertical="center"/>
    </xf>
    <xf numFmtId="166" fontId="23" fillId="12" borderId="356" xfId="1" applyNumberFormat="1" applyFont="1" applyFill="1" applyBorder="1" applyAlignment="1">
      <alignment horizontal="center" vertical="center"/>
    </xf>
    <xf numFmtId="166" fontId="33" fillId="11" borderId="356" xfId="1" applyNumberFormat="1" applyFont="1" applyFill="1" applyBorder="1" applyAlignment="1">
      <alignment horizontal="center" vertical="center"/>
    </xf>
    <xf numFmtId="166" fontId="40" fillId="12" borderId="18" xfId="1" applyNumberFormat="1" applyFont="1" applyFill="1" applyBorder="1" applyAlignment="1">
      <alignment horizontal="center" vertical="center"/>
    </xf>
    <xf numFmtId="166" fontId="38" fillId="11" borderId="18" xfId="1" applyNumberFormat="1" applyFont="1" applyFill="1" applyBorder="1" applyAlignment="1">
      <alignment horizontal="center" vertical="center"/>
    </xf>
    <xf numFmtId="166" fontId="23" fillId="12" borderId="34" xfId="1" applyNumberFormat="1" applyFont="1" applyFill="1" applyBorder="1" applyAlignment="1">
      <alignment horizontal="center" vertical="center"/>
    </xf>
    <xf numFmtId="0" fontId="41" fillId="3" borderId="326" xfId="1" applyFont="1" applyFill="1" applyBorder="1" applyAlignment="1">
      <alignment horizontal="center" vertical="center"/>
    </xf>
    <xf numFmtId="0" fontId="41" fillId="4" borderId="356" xfId="1" applyFont="1" applyFill="1" applyBorder="1" applyAlignment="1">
      <alignment horizontal="center" vertical="center"/>
    </xf>
    <xf numFmtId="0" fontId="41" fillId="4" borderId="326" xfId="1" applyFont="1" applyFill="1" applyBorder="1" applyAlignment="1">
      <alignment horizontal="center" vertical="center"/>
    </xf>
    <xf numFmtId="0" fontId="41" fillId="3" borderId="356" xfId="1" applyFont="1" applyFill="1" applyBorder="1" applyAlignment="1">
      <alignment horizontal="center" vertical="center"/>
    </xf>
    <xf numFmtId="0" fontId="41" fillId="42" borderId="326" xfId="1" applyFont="1" applyFill="1" applyBorder="1" applyAlignment="1">
      <alignment horizontal="center" vertical="center"/>
    </xf>
    <xf numFmtId="0" fontId="41" fillId="24" borderId="356" xfId="1" applyFont="1" applyFill="1" applyBorder="1" applyAlignment="1">
      <alignment horizontal="center" vertical="center"/>
    </xf>
    <xf numFmtId="0" fontId="41" fillId="24" borderId="326" xfId="1" applyFont="1" applyFill="1" applyBorder="1" applyAlignment="1">
      <alignment horizontal="center" vertical="center"/>
    </xf>
    <xf numFmtId="0" fontId="41" fillId="27" borderId="326" xfId="1" applyFont="1" applyFill="1" applyBorder="1" applyAlignment="1">
      <alignment horizontal="center" vertical="center"/>
    </xf>
    <xf numFmtId="0" fontId="41" fillId="26" borderId="326" xfId="1" applyFont="1" applyFill="1" applyBorder="1" applyAlignment="1">
      <alignment horizontal="center" vertical="center"/>
    </xf>
    <xf numFmtId="0" fontId="41" fillId="25" borderId="356" xfId="1" applyFont="1" applyFill="1" applyBorder="1" applyAlignment="1">
      <alignment horizontal="center" vertical="center"/>
    </xf>
    <xf numFmtId="0" fontId="41" fillId="26" borderId="356" xfId="1" applyFont="1" applyFill="1" applyBorder="1" applyAlignment="1">
      <alignment horizontal="center" vertical="center"/>
    </xf>
    <xf numFmtId="0" fontId="41" fillId="27" borderId="356" xfId="1" applyFont="1" applyFill="1" applyBorder="1" applyAlignment="1">
      <alignment horizontal="center" vertical="center"/>
    </xf>
    <xf numFmtId="0" fontId="41" fillId="25" borderId="326" xfId="1" applyFont="1" applyFill="1" applyBorder="1" applyAlignment="1">
      <alignment horizontal="center" vertical="center"/>
    </xf>
    <xf numFmtId="0" fontId="41" fillId="42" borderId="356" xfId="1" applyFont="1" applyFill="1" applyBorder="1" applyAlignment="1">
      <alignment horizontal="center" vertical="center"/>
    </xf>
    <xf numFmtId="0" fontId="41" fillId="34" borderId="326" xfId="1" applyFont="1" applyFill="1" applyBorder="1" applyAlignment="1">
      <alignment horizontal="center" vertical="center"/>
    </xf>
    <xf numFmtId="0" fontId="41" fillId="35" borderId="356" xfId="1" applyFont="1" applyFill="1" applyBorder="1" applyAlignment="1">
      <alignment horizontal="center" vertical="center"/>
    </xf>
    <xf numFmtId="0" fontId="41" fillId="35" borderId="326" xfId="1" applyFont="1" applyFill="1" applyBorder="1" applyAlignment="1">
      <alignment horizontal="center" vertical="center"/>
    </xf>
    <xf numFmtId="0" fontId="41" fillId="34" borderId="356" xfId="1" applyFont="1" applyFill="1" applyBorder="1" applyAlignment="1">
      <alignment horizontal="center" vertical="center"/>
    </xf>
    <xf numFmtId="0" fontId="41" fillId="29" borderId="356" xfId="1" applyFont="1" applyFill="1" applyBorder="1" applyAlignment="1">
      <alignment horizontal="center" vertical="center"/>
    </xf>
    <xf numFmtId="0" fontId="41" fillId="29" borderId="326" xfId="1" applyFont="1" applyFill="1" applyBorder="1" applyAlignment="1">
      <alignment horizontal="center" vertical="center"/>
    </xf>
    <xf numFmtId="0" fontId="41" fillId="28" borderId="356" xfId="1" applyFont="1" applyFill="1" applyBorder="1" applyAlignment="1">
      <alignment horizontal="center" vertical="center"/>
    </xf>
    <xf numFmtId="0" fontId="17" fillId="12" borderId="326" xfId="1" applyFont="1" applyFill="1" applyBorder="1" applyAlignment="1">
      <alignment horizontal="center" vertical="center"/>
    </xf>
    <xf numFmtId="0" fontId="17" fillId="11" borderId="18" xfId="1" applyFont="1" applyFill="1" applyBorder="1" applyAlignment="1">
      <alignment horizontal="center" vertical="center"/>
    </xf>
    <xf numFmtId="0" fontId="17" fillId="11" borderId="326" xfId="1" applyFont="1" applyFill="1" applyBorder="1" applyAlignment="1">
      <alignment horizontal="center" vertical="center"/>
    </xf>
    <xf numFmtId="0" fontId="17" fillId="12" borderId="18" xfId="1" applyFont="1" applyFill="1" applyBorder="1" applyAlignment="1">
      <alignment horizontal="center" vertical="center"/>
    </xf>
    <xf numFmtId="0" fontId="17" fillId="10" borderId="326" xfId="1" applyFont="1" applyFill="1" applyBorder="1" applyAlignment="1">
      <alignment horizontal="center" vertical="center"/>
    </xf>
    <xf numFmtId="0" fontId="17" fillId="11" borderId="497" xfId="1" applyFont="1" applyFill="1" applyBorder="1" applyAlignment="1">
      <alignment horizontal="center" vertical="center"/>
    </xf>
    <xf numFmtId="0" fontId="17" fillId="11" borderId="356" xfId="1" applyFont="1" applyFill="1" applyBorder="1" applyAlignment="1">
      <alignment horizontal="center" vertical="center"/>
    </xf>
    <xf numFmtId="0" fontId="41" fillId="11" borderId="326" xfId="1" applyFont="1" applyFill="1" applyBorder="1" applyAlignment="1">
      <alignment horizontal="center" vertical="center"/>
    </xf>
    <xf numFmtId="0" fontId="17" fillId="13" borderId="497" xfId="1" applyFont="1" applyFill="1" applyBorder="1" applyAlignment="1">
      <alignment horizontal="center" vertical="center"/>
    </xf>
    <xf numFmtId="0" fontId="17" fillId="14" borderId="326" xfId="1" applyFont="1" applyFill="1" applyBorder="1" applyAlignment="1">
      <alignment horizontal="center" vertical="center"/>
    </xf>
    <xf numFmtId="0" fontId="17" fillId="12" borderId="34" xfId="1" applyFont="1" applyFill="1" applyBorder="1" applyAlignment="1">
      <alignment horizontal="center" vertical="center"/>
    </xf>
    <xf numFmtId="3" fontId="17" fillId="35" borderId="367" xfId="1" applyNumberFormat="1" applyFont="1" applyFill="1" applyBorder="1" applyAlignment="1">
      <alignment horizontal="center" vertical="center"/>
    </xf>
    <xf numFmtId="3" fontId="41" fillId="53" borderId="319" xfId="1" applyNumberFormat="1" applyFont="1" applyFill="1" applyBorder="1" applyAlignment="1">
      <alignment horizontal="center" vertical="center"/>
    </xf>
    <xf numFmtId="3" fontId="41" fillId="53" borderId="313" xfId="1" applyNumberFormat="1" applyFont="1" applyFill="1" applyBorder="1" applyAlignment="1">
      <alignment horizontal="center" vertical="center"/>
    </xf>
    <xf numFmtId="3" fontId="41" fillId="4" borderId="319" xfId="1" applyNumberFormat="1" applyFont="1" applyFill="1" applyBorder="1" applyAlignment="1">
      <alignment horizontal="center" vertical="center"/>
    </xf>
    <xf numFmtId="3" fontId="41" fillId="4" borderId="313" xfId="1" applyNumberFormat="1" applyFont="1" applyFill="1" applyBorder="1" applyAlignment="1">
      <alignment horizontal="center" vertical="center"/>
    </xf>
    <xf numFmtId="3" fontId="41" fillId="24" borderId="319" xfId="1" applyNumberFormat="1" applyFont="1" applyFill="1" applyBorder="1" applyAlignment="1">
      <alignment horizontal="center" vertical="center"/>
    </xf>
    <xf numFmtId="3" fontId="41" fillId="24" borderId="313" xfId="1" applyNumberFormat="1" applyFont="1" applyFill="1" applyBorder="1" applyAlignment="1">
      <alignment horizontal="center" vertical="center"/>
    </xf>
    <xf numFmtId="3" fontId="41" fillId="35" borderId="313" xfId="1" applyNumberFormat="1" applyFont="1" applyFill="1" applyBorder="1" applyAlignment="1">
      <alignment horizontal="center" vertical="center"/>
    </xf>
    <xf numFmtId="0" fontId="59" fillId="4" borderId="499" xfId="1" applyFont="1" applyFill="1" applyBorder="1" applyAlignment="1">
      <alignment horizontal="center" vertical="center"/>
    </xf>
    <xf numFmtId="0" fontId="115" fillId="30" borderId="8" xfId="1" applyFont="1" applyFill="1" applyBorder="1" applyAlignment="1">
      <alignment horizontal="left" vertical="center"/>
    </xf>
    <xf numFmtId="3" fontId="39" fillId="34" borderId="365" xfId="1" applyNumberFormat="1" applyFont="1" applyFill="1" applyBorder="1" applyAlignment="1">
      <alignment horizontal="center" vertical="center"/>
    </xf>
    <xf numFmtId="3" fontId="38" fillId="28" borderId="491" xfId="1" applyNumberFormat="1" applyFont="1" applyFill="1" applyBorder="1" applyAlignment="1">
      <alignment horizontal="center" vertical="center"/>
    </xf>
    <xf numFmtId="0" fontId="49" fillId="0" borderId="0" xfId="0" applyFont="1" applyAlignment="1">
      <alignment horizontal="center" vertical="center"/>
    </xf>
    <xf numFmtId="0" fontId="49" fillId="0" borderId="0" xfId="0" applyFont="1" applyAlignment="1">
      <alignment horizontal="center"/>
    </xf>
    <xf numFmtId="3" fontId="38" fillId="8" borderId="332" xfId="1" applyNumberFormat="1" applyFont="1" applyFill="1" applyBorder="1" applyAlignment="1">
      <alignment horizontal="center" vertical="center"/>
    </xf>
    <xf numFmtId="3" fontId="38" fillId="24" borderId="245" xfId="1" applyNumberFormat="1" applyFont="1" applyFill="1" applyBorder="1" applyAlignment="1">
      <alignment horizontal="left" vertical="center"/>
    </xf>
    <xf numFmtId="169" fontId="17" fillId="0" borderId="164" xfId="1" applyNumberFormat="1" applyFont="1" applyFill="1" applyBorder="1" applyAlignment="1">
      <alignment horizontal="right" vertical="center"/>
    </xf>
    <xf numFmtId="169" fontId="17" fillId="0" borderId="491" xfId="1" applyNumberFormat="1" applyFont="1" applyFill="1" applyBorder="1" applyAlignment="1">
      <alignment horizontal="right" vertical="center"/>
    </xf>
    <xf numFmtId="0" fontId="59" fillId="0" borderId="481" xfId="1" applyFont="1" applyFill="1" applyBorder="1" applyAlignment="1">
      <alignment horizontal="center" vertical="center"/>
    </xf>
    <xf numFmtId="0" fontId="69" fillId="0" borderId="473" xfId="1" applyFont="1" applyFill="1" applyBorder="1" applyAlignment="1">
      <alignment horizontal="left" vertical="center"/>
    </xf>
    <xf numFmtId="0" fontId="104" fillId="0" borderId="197" xfId="15" applyFont="1" applyFill="1" applyBorder="1" applyAlignment="1">
      <alignment horizontal="left" vertical="center"/>
    </xf>
    <xf numFmtId="3" fontId="45" fillId="0" borderId="217" xfId="1" applyNumberFormat="1" applyFont="1" applyFill="1" applyBorder="1" applyAlignment="1">
      <alignment horizontal="left" vertical="center"/>
    </xf>
    <xf numFmtId="0" fontId="45" fillId="0" borderId="481" xfId="1" applyFont="1" applyFill="1" applyBorder="1" applyAlignment="1">
      <alignment horizontal="left" vertical="center"/>
    </xf>
    <xf numFmtId="0" fontId="45" fillId="0" borderId="465" xfId="1" applyFont="1" applyFill="1" applyBorder="1" applyAlignment="1">
      <alignment horizontal="left" vertical="center"/>
    </xf>
    <xf numFmtId="0" fontId="69" fillId="0" borderId="202" xfId="1" applyFont="1" applyFill="1" applyBorder="1" applyAlignment="1">
      <alignment horizontal="left" vertical="center"/>
    </xf>
    <xf numFmtId="0" fontId="69" fillId="0" borderId="481" xfId="1" applyFont="1" applyFill="1" applyBorder="1" applyAlignment="1">
      <alignment horizontal="left" vertical="center"/>
    </xf>
    <xf numFmtId="169" fontId="38" fillId="0" borderId="164" xfId="1" applyNumberFormat="1" applyFont="1" applyFill="1" applyBorder="1" applyAlignment="1">
      <alignment horizontal="right" vertical="center"/>
    </xf>
    <xf numFmtId="0" fontId="46" fillId="0" borderId="217" xfId="1" applyFont="1" applyFill="1" applyBorder="1" applyAlignment="1">
      <alignment horizontal="center" vertical="center"/>
    </xf>
    <xf numFmtId="0" fontId="46" fillId="0" borderId="85" xfId="1" applyFont="1" applyFill="1" applyBorder="1" applyAlignment="1">
      <alignment horizontal="left" vertical="center"/>
    </xf>
    <xf numFmtId="0" fontId="69" fillId="0" borderId="49" xfId="1" applyFont="1" applyFill="1" applyBorder="1" applyAlignment="1">
      <alignment horizontal="left" vertical="center"/>
    </xf>
    <xf numFmtId="0" fontId="88" fillId="0" borderId="38" xfId="1" applyFont="1" applyFill="1" applyBorder="1" applyAlignment="1">
      <alignment horizontal="center" vertical="center"/>
    </xf>
    <xf numFmtId="3" fontId="45" fillId="0" borderId="369" xfId="1" applyNumberFormat="1" applyFont="1" applyFill="1" applyBorder="1" applyAlignment="1">
      <alignment horizontal="left" vertical="center"/>
    </xf>
    <xf numFmtId="0" fontId="45" fillId="0" borderId="196" xfId="1" applyFont="1" applyFill="1" applyBorder="1" applyAlignment="1">
      <alignment horizontal="left" vertical="center"/>
    </xf>
    <xf numFmtId="0" fontId="0" fillId="0" borderId="0" xfId="0" applyAlignment="1">
      <alignment horizontal="center"/>
    </xf>
    <xf numFmtId="3" fontId="63" fillId="0" borderId="0" xfId="0" applyNumberFormat="1" applyFont="1"/>
    <xf numFmtId="0" fontId="59" fillId="0" borderId="499" xfId="1" applyFont="1" applyFill="1" applyBorder="1" applyAlignment="1">
      <alignment horizontal="center" vertical="center"/>
    </xf>
    <xf numFmtId="169" fontId="26" fillId="0" borderId="499" xfId="1" applyNumberFormat="1" applyFont="1" applyFill="1" applyBorder="1" applyAlignment="1">
      <alignment horizontal="right" vertical="center"/>
    </xf>
    <xf numFmtId="3" fontId="46" fillId="0" borderId="499" xfId="1" applyNumberFormat="1" applyFont="1" applyFill="1" applyBorder="1" applyAlignment="1">
      <alignment horizontal="center" vertical="center"/>
    </xf>
    <xf numFmtId="169" fontId="17" fillId="0" borderId="499" xfId="1" applyNumberFormat="1" applyFont="1" applyFill="1" applyBorder="1" applyAlignment="1">
      <alignment horizontal="right" vertical="center"/>
    </xf>
    <xf numFmtId="3" fontId="45" fillId="0" borderId="499" xfId="1" applyNumberFormat="1" applyFont="1" applyFill="1" applyBorder="1" applyAlignment="1">
      <alignment horizontal="center" vertical="center"/>
    </xf>
    <xf numFmtId="0" fontId="82" fillId="0" borderId="465" xfId="15" applyFont="1" applyBorder="1" applyAlignment="1">
      <alignment vertical="center"/>
    </xf>
    <xf numFmtId="0" fontId="45" fillId="0" borderId="499" xfId="1" applyFont="1" applyFill="1" applyBorder="1" applyAlignment="1">
      <alignment horizontal="left" vertical="center"/>
    </xf>
    <xf numFmtId="0" fontId="48" fillId="0" borderId="499" xfId="1" applyFont="1" applyFill="1" applyBorder="1" applyAlignment="1">
      <alignment vertical="center"/>
    </xf>
    <xf numFmtId="0" fontId="82" fillId="3" borderId="199" xfId="15" applyFont="1" applyFill="1" applyBorder="1" applyAlignment="1">
      <alignment vertical="center"/>
    </xf>
    <xf numFmtId="0" fontId="48" fillId="0" borderId="4" xfId="1" applyFont="1" applyFill="1" applyBorder="1" applyAlignment="1">
      <alignment vertical="center"/>
    </xf>
    <xf numFmtId="0" fontId="82" fillId="0" borderId="499" xfId="15" applyFont="1" applyBorder="1" applyAlignment="1">
      <alignment vertical="center"/>
    </xf>
    <xf numFmtId="169" fontId="17" fillId="0" borderId="499" xfId="1" applyNumberFormat="1" applyFont="1" applyFill="1" applyBorder="1" applyAlignment="1">
      <alignment vertical="center"/>
    </xf>
    <xf numFmtId="0" fontId="59" fillId="0" borderId="327" xfId="1" applyFont="1" applyFill="1" applyBorder="1" applyAlignment="1">
      <alignment horizontal="center" vertical="center"/>
    </xf>
    <xf numFmtId="169" fontId="26" fillId="0" borderId="349" xfId="1" applyNumberFormat="1" applyFont="1" applyFill="1" applyBorder="1" applyAlignment="1">
      <alignment horizontal="right" vertical="center"/>
    </xf>
    <xf numFmtId="3" fontId="46" fillId="0" borderId="497" xfId="1" applyNumberFormat="1" applyFont="1" applyFill="1" applyBorder="1" applyAlignment="1">
      <alignment horizontal="center" vertical="center"/>
    </xf>
    <xf numFmtId="0" fontId="48" fillId="0" borderId="485" xfId="1" applyFont="1" applyFill="1" applyBorder="1" applyAlignment="1">
      <alignment horizontal="left" vertical="center"/>
    </xf>
    <xf numFmtId="0" fontId="76" fillId="0" borderId="498" xfId="1" applyFont="1" applyFill="1" applyBorder="1" applyAlignment="1">
      <alignment horizontal="left" vertical="center"/>
    </xf>
    <xf numFmtId="169" fontId="17" fillId="0" borderId="349" xfId="1" applyNumberFormat="1" applyFont="1" applyFill="1" applyBorder="1" applyAlignment="1">
      <alignment vertical="center"/>
    </xf>
    <xf numFmtId="3" fontId="45" fillId="0" borderId="497" xfId="1" applyNumberFormat="1" applyFont="1" applyFill="1" applyBorder="1" applyAlignment="1">
      <alignment horizontal="center" vertical="center"/>
    </xf>
    <xf numFmtId="0" fontId="48" fillId="0" borderId="499" xfId="1" applyFont="1" applyFill="1" applyBorder="1" applyAlignment="1">
      <alignment horizontal="left" vertical="center"/>
    </xf>
    <xf numFmtId="0" fontId="76" fillId="0" borderId="499" xfId="1" applyFont="1" applyFill="1" applyBorder="1" applyAlignment="1">
      <alignment horizontal="left" vertical="center"/>
    </xf>
    <xf numFmtId="0" fontId="48" fillId="0" borderId="48" xfId="1" applyFont="1" applyFill="1" applyBorder="1" applyAlignment="1">
      <alignment horizontal="left" vertical="center"/>
    </xf>
    <xf numFmtId="3" fontId="46" fillId="0" borderId="1" xfId="1" applyNumberFormat="1" applyFont="1" applyFill="1" applyBorder="1" applyAlignment="1">
      <alignment horizontal="center" vertical="center"/>
    </xf>
    <xf numFmtId="0" fontId="104" fillId="0" borderId="404" xfId="15" applyFont="1" applyFill="1" applyBorder="1" applyAlignment="1">
      <alignment horizontal="left" vertical="center"/>
    </xf>
    <xf numFmtId="0" fontId="48" fillId="0" borderId="411" xfId="1" applyFont="1" applyFill="1" applyBorder="1" applyAlignment="1">
      <alignment vertical="center"/>
    </xf>
    <xf numFmtId="3" fontId="45" fillId="0" borderId="4" xfId="1" applyNumberFormat="1" applyFont="1" applyFill="1" applyBorder="1" applyAlignment="1">
      <alignment horizontal="left" vertical="center"/>
    </xf>
    <xf numFmtId="0" fontId="69" fillId="0" borderId="94" xfId="1" applyFont="1" applyFill="1" applyBorder="1" applyAlignment="1">
      <alignment horizontal="left" vertical="center"/>
    </xf>
    <xf numFmtId="0" fontId="45" fillId="0" borderId="337" xfId="1" applyFont="1" applyFill="1" applyBorder="1" applyAlignment="1">
      <alignment vertical="center"/>
    </xf>
    <xf numFmtId="0" fontId="45" fillId="0" borderId="351" xfId="1" applyFont="1" applyFill="1" applyBorder="1" applyAlignment="1">
      <alignment vertical="center"/>
    </xf>
    <xf numFmtId="169" fontId="38" fillId="0" borderId="349" xfId="1" applyNumberFormat="1" applyFont="1" applyFill="1" applyBorder="1" applyAlignment="1">
      <alignment horizontal="right" vertical="center"/>
    </xf>
    <xf numFmtId="0" fontId="45" fillId="0" borderId="38" xfId="1" applyFont="1" applyFill="1" applyBorder="1" applyAlignment="1">
      <alignment horizontal="center" vertical="center"/>
    </xf>
    <xf numFmtId="0" fontId="48" fillId="0" borderId="199" xfId="1" applyFont="1" applyFill="1" applyBorder="1" applyAlignment="1">
      <alignment vertical="center"/>
    </xf>
    <xf numFmtId="3" fontId="69" fillId="0" borderId="437" xfId="1" applyNumberFormat="1" applyFont="1" applyFill="1" applyBorder="1" applyAlignment="1">
      <alignment horizontal="center" vertical="center"/>
    </xf>
    <xf numFmtId="0" fontId="59" fillId="0" borderId="47" xfId="1" applyFont="1" applyFill="1" applyBorder="1" applyAlignment="1">
      <alignment horizontal="center" vertical="center"/>
    </xf>
    <xf numFmtId="0" fontId="69" fillId="0" borderId="9" xfId="1" applyFont="1" applyFill="1" applyBorder="1" applyAlignment="1">
      <alignment horizontal="left" vertical="center"/>
    </xf>
    <xf numFmtId="0" fontId="82" fillId="0" borderId="404" xfId="15" applyFont="1" applyFill="1" applyBorder="1" applyAlignment="1">
      <alignment vertical="center"/>
    </xf>
    <xf numFmtId="3" fontId="69" fillId="0" borderId="233" xfId="1" applyNumberFormat="1" applyFont="1" applyFill="1" applyBorder="1" applyAlignment="1">
      <alignment horizontal="center" vertical="center"/>
    </xf>
    <xf numFmtId="0" fontId="82" fillId="0" borderId="480" xfId="15" applyFont="1" applyFill="1" applyBorder="1" applyAlignment="1">
      <alignment horizontal="left" vertical="center"/>
    </xf>
    <xf numFmtId="3" fontId="69" fillId="0" borderId="499" xfId="1" applyNumberFormat="1" applyFont="1" applyFill="1" applyBorder="1" applyAlignment="1">
      <alignment horizontal="center" vertical="center"/>
    </xf>
    <xf numFmtId="169" fontId="17" fillId="0" borderId="405" xfId="1" applyNumberFormat="1" applyFont="1" applyFill="1" applyBorder="1" applyAlignment="1">
      <alignment horizontal="right" vertical="center"/>
    </xf>
    <xf numFmtId="0" fontId="43" fillId="34" borderId="25" xfId="1" applyFont="1" applyFill="1" applyBorder="1" applyAlignment="1">
      <alignment horizontal="center" vertical="center"/>
    </xf>
    <xf numFmtId="3" fontId="39" fillId="25" borderId="258" xfId="1" applyNumberFormat="1" applyFont="1" applyFill="1" applyBorder="1" applyAlignment="1">
      <alignment horizontal="center" vertical="center"/>
    </xf>
    <xf numFmtId="3" fontId="17" fillId="34" borderId="72" xfId="1" applyNumberFormat="1" applyFont="1" applyFill="1" applyBorder="1" applyAlignment="1">
      <alignment horizontal="center" vertical="center"/>
    </xf>
    <xf numFmtId="3" fontId="38" fillId="8" borderId="331" xfId="1" applyNumberFormat="1" applyFont="1" applyFill="1" applyBorder="1" applyAlignment="1">
      <alignment horizontal="center" vertical="center"/>
    </xf>
    <xf numFmtId="3" fontId="38" fillId="24" borderId="169" xfId="1" applyNumberFormat="1" applyFont="1" applyFill="1" applyBorder="1" applyAlignment="1">
      <alignment horizontal="left" vertical="center"/>
    </xf>
    <xf numFmtId="3" fontId="38" fillId="24" borderId="24" xfId="1" applyNumberFormat="1" applyFont="1" applyFill="1" applyBorder="1" applyAlignment="1">
      <alignment horizontal="center" vertical="center"/>
    </xf>
    <xf numFmtId="0" fontId="17" fillId="24" borderId="169" xfId="1" applyFont="1" applyFill="1" applyBorder="1" applyAlignment="1">
      <alignment horizontal="center" vertical="center"/>
    </xf>
    <xf numFmtId="2" fontId="38" fillId="35" borderId="387" xfId="1" applyNumberFormat="1" applyFont="1" applyFill="1" applyBorder="1" applyAlignment="1">
      <alignment horizontal="center" vertical="center"/>
    </xf>
    <xf numFmtId="166" fontId="33" fillId="0" borderId="308" xfId="1" applyNumberFormat="1" applyFont="1" applyFill="1" applyBorder="1" applyAlignment="1">
      <alignment horizontal="center" vertical="center"/>
    </xf>
    <xf numFmtId="2" fontId="38" fillId="24" borderId="501" xfId="1" applyNumberFormat="1" applyFont="1" applyFill="1" applyBorder="1" applyAlignment="1">
      <alignment horizontal="center" vertical="center"/>
    </xf>
    <xf numFmtId="3" fontId="17" fillId="0" borderId="428" xfId="1" applyNumberFormat="1" applyFont="1" applyFill="1" applyBorder="1" applyAlignment="1">
      <alignment horizontal="center" vertical="center"/>
    </xf>
    <xf numFmtId="0" fontId="17" fillId="24" borderId="428" xfId="1" applyFont="1" applyFill="1" applyBorder="1" applyAlignment="1">
      <alignment horizontal="center" vertical="center"/>
    </xf>
    <xf numFmtId="14" fontId="38" fillId="24" borderId="428" xfId="1" applyNumberFormat="1" applyFont="1" applyFill="1" applyBorder="1" applyAlignment="1">
      <alignment horizontal="center" vertical="center"/>
    </xf>
    <xf numFmtId="2" fontId="38" fillId="24" borderId="503" xfId="1" applyNumberFormat="1" applyFont="1" applyFill="1" applyBorder="1" applyAlignment="1">
      <alignment horizontal="center" vertical="center"/>
    </xf>
    <xf numFmtId="3" fontId="38" fillId="0" borderId="243" xfId="1" applyNumberFormat="1" applyFont="1" applyFill="1" applyBorder="1" applyAlignment="1">
      <alignment horizontal="center" vertical="center"/>
    </xf>
    <xf numFmtId="3" fontId="38" fillId="24" borderId="368" xfId="1" applyNumberFormat="1" applyFont="1" applyFill="1" applyBorder="1" applyAlignment="1">
      <alignment horizontal="center" vertical="center"/>
    </xf>
    <xf numFmtId="3" fontId="39" fillId="35" borderId="325" xfId="1" applyNumberFormat="1" applyFont="1" applyFill="1" applyBorder="1" applyAlignment="1">
      <alignment horizontal="center" vertical="center"/>
    </xf>
    <xf numFmtId="3" fontId="39" fillId="24" borderId="24" xfId="1" applyNumberFormat="1" applyFont="1" applyFill="1" applyBorder="1" applyAlignment="1">
      <alignment horizontal="center" vertical="center"/>
    </xf>
    <xf numFmtId="3" fontId="38" fillId="0" borderId="415" xfId="1" applyNumberFormat="1" applyFont="1" applyFill="1" applyBorder="1" applyAlignment="1">
      <alignment horizontal="center" vertical="center"/>
    </xf>
    <xf numFmtId="3" fontId="38" fillId="35" borderId="365" xfId="1" applyNumberFormat="1" applyFont="1" applyFill="1" applyBorder="1" applyAlignment="1">
      <alignment horizontal="left" vertical="center"/>
    </xf>
    <xf numFmtId="3" fontId="38" fillId="29" borderId="491" xfId="1" applyNumberFormat="1" applyFont="1" applyFill="1" applyBorder="1" applyAlignment="1">
      <alignment horizontal="left" vertical="center"/>
    </xf>
    <xf numFmtId="3" fontId="38" fillId="26" borderId="64" xfId="1" applyNumberFormat="1" applyFont="1" applyFill="1" applyBorder="1" applyAlignment="1">
      <alignment horizontal="left" vertical="center"/>
    </xf>
    <xf numFmtId="3" fontId="38" fillId="35" borderId="365" xfId="1" applyNumberFormat="1" applyFont="1" applyFill="1" applyBorder="1" applyAlignment="1">
      <alignment horizontal="center" vertical="center"/>
    </xf>
    <xf numFmtId="3" fontId="38" fillId="26" borderId="64" xfId="1" applyNumberFormat="1" applyFont="1" applyFill="1" applyBorder="1" applyAlignment="1">
      <alignment horizontal="center" vertical="center"/>
    </xf>
    <xf numFmtId="0" fontId="17" fillId="35" borderId="365" xfId="1" applyFont="1" applyFill="1" applyBorder="1" applyAlignment="1">
      <alignment horizontal="center" vertical="center"/>
    </xf>
    <xf numFmtId="0" fontId="17" fillId="29" borderId="491" xfId="1" applyFont="1" applyFill="1" applyBorder="1" applyAlignment="1">
      <alignment horizontal="center" vertical="center"/>
    </xf>
    <xf numFmtId="172" fontId="38" fillId="35" borderId="365" xfId="1" applyNumberFormat="1" applyFont="1" applyFill="1" applyBorder="1" applyAlignment="1">
      <alignment horizontal="center" vertical="center"/>
    </xf>
    <xf numFmtId="172" fontId="38" fillId="29" borderId="491" xfId="1" applyNumberFormat="1" applyFont="1" applyFill="1" applyBorder="1" applyAlignment="1">
      <alignment horizontal="center" vertical="center"/>
    </xf>
    <xf numFmtId="14" fontId="38" fillId="35" borderId="365" xfId="1" applyNumberFormat="1" applyFont="1" applyFill="1" applyBorder="1" applyAlignment="1">
      <alignment horizontal="center" vertical="center"/>
    </xf>
    <xf numFmtId="14" fontId="38" fillId="29" borderId="491" xfId="1" applyNumberFormat="1" applyFont="1" applyFill="1" applyBorder="1" applyAlignment="1">
      <alignment horizontal="center" vertical="center"/>
    </xf>
    <xf numFmtId="3" fontId="38" fillId="35" borderId="386" xfId="1" applyNumberFormat="1" applyFont="1" applyFill="1" applyBorder="1" applyAlignment="1">
      <alignment horizontal="left" vertical="center"/>
    </xf>
    <xf numFmtId="3" fontId="38" fillId="35" borderId="386" xfId="1" applyNumberFormat="1" applyFont="1" applyFill="1" applyBorder="1" applyAlignment="1">
      <alignment horizontal="center" vertical="center"/>
    </xf>
    <xf numFmtId="0" fontId="17" fillId="35" borderId="386" xfId="1" applyFont="1" applyFill="1" applyBorder="1" applyAlignment="1">
      <alignment horizontal="center" vertical="center"/>
    </xf>
    <xf numFmtId="172" fontId="38" fillId="35" borderId="386" xfId="1" applyNumberFormat="1" applyFont="1" applyFill="1" applyBorder="1" applyAlignment="1">
      <alignment horizontal="center" vertical="center"/>
    </xf>
    <xf numFmtId="14" fontId="38" fillId="35" borderId="386" xfId="1" applyNumberFormat="1" applyFont="1" applyFill="1" applyBorder="1" applyAlignment="1">
      <alignment horizontal="center" vertical="center"/>
    </xf>
    <xf numFmtId="3" fontId="39" fillId="35" borderId="365" xfId="1" applyNumberFormat="1" applyFont="1" applyFill="1" applyBorder="1" applyAlignment="1">
      <alignment horizontal="center" vertical="center"/>
    </xf>
    <xf numFmtId="3" fontId="17" fillId="35" borderId="102" xfId="1" applyNumberFormat="1" applyFont="1" applyFill="1" applyBorder="1" applyAlignment="1">
      <alignment horizontal="center" vertical="center"/>
    </xf>
    <xf numFmtId="3" fontId="39" fillId="34" borderId="386" xfId="1" applyNumberFormat="1" applyFont="1" applyFill="1" applyBorder="1" applyAlignment="1">
      <alignment horizontal="center" vertical="center"/>
    </xf>
    <xf numFmtId="3" fontId="38" fillId="34" borderId="386" xfId="1" applyNumberFormat="1" applyFont="1" applyFill="1" applyBorder="1" applyAlignment="1">
      <alignment horizontal="left" vertical="center"/>
    </xf>
    <xf numFmtId="3" fontId="38" fillId="34" borderId="386" xfId="1" applyNumberFormat="1" applyFont="1" applyFill="1" applyBorder="1" applyAlignment="1">
      <alignment horizontal="center" vertical="center"/>
    </xf>
    <xf numFmtId="0" fontId="17" fillId="34" borderId="386" xfId="1" applyFont="1" applyFill="1" applyBorder="1" applyAlignment="1">
      <alignment horizontal="center" vertical="center"/>
    </xf>
    <xf numFmtId="0" fontId="17" fillId="24" borderId="24" xfId="1" applyFont="1" applyFill="1" applyBorder="1" applyAlignment="1">
      <alignment horizontal="center" vertical="center"/>
    </xf>
    <xf numFmtId="172" fontId="38" fillId="34" borderId="386" xfId="1" applyNumberFormat="1" applyFont="1" applyFill="1" applyBorder="1" applyAlignment="1">
      <alignment horizontal="center" vertical="center"/>
    </xf>
    <xf numFmtId="14" fontId="38" fillId="34" borderId="386" xfId="1" applyNumberFormat="1" applyFont="1" applyFill="1" applyBorder="1" applyAlignment="1">
      <alignment horizontal="center" vertical="center"/>
    </xf>
    <xf numFmtId="2" fontId="38" fillId="35" borderId="418" xfId="1" applyNumberFormat="1" applyFont="1" applyFill="1" applyBorder="1" applyAlignment="1">
      <alignment horizontal="center" vertical="center"/>
    </xf>
    <xf numFmtId="0" fontId="23" fillId="24" borderId="28" xfId="1" applyFont="1" applyFill="1" applyBorder="1" applyAlignment="1">
      <alignment horizontal="center" vertical="center"/>
    </xf>
    <xf numFmtId="0" fontId="117" fillId="24" borderId="8" xfId="1" applyFont="1" applyFill="1" applyBorder="1" applyAlignment="1">
      <alignment horizontal="center"/>
    </xf>
    <xf numFmtId="3" fontId="39" fillId="24" borderId="252" xfId="1" applyNumberFormat="1" applyFont="1" applyFill="1" applyBorder="1" applyAlignment="1">
      <alignment horizontal="center" vertical="center"/>
    </xf>
    <xf numFmtId="2" fontId="38" fillId="24" borderId="342" xfId="1" applyNumberFormat="1" applyFont="1" applyFill="1" applyBorder="1" applyAlignment="1">
      <alignment horizontal="center" vertical="center"/>
    </xf>
    <xf numFmtId="0" fontId="104" fillId="56" borderId="0" xfId="15" applyFont="1" applyFill="1" applyBorder="1" applyAlignment="1">
      <alignment horizontal="left" vertical="center"/>
    </xf>
    <xf numFmtId="3" fontId="17" fillId="52" borderId="242" xfId="1" applyNumberFormat="1" applyFont="1" applyFill="1" applyBorder="1" applyAlignment="1">
      <alignment horizontal="center" vertical="center"/>
    </xf>
    <xf numFmtId="3" fontId="38" fillId="0" borderId="65" xfId="1" applyNumberFormat="1" applyFont="1" applyFill="1" applyBorder="1" applyAlignment="1">
      <alignment horizontal="center" vertical="center"/>
    </xf>
    <xf numFmtId="3" fontId="38" fillId="52" borderId="64" xfId="1" applyNumberFormat="1" applyFont="1" applyFill="1" applyBorder="1" applyAlignment="1">
      <alignment horizontal="left" vertical="center"/>
    </xf>
    <xf numFmtId="172" fontId="38" fillId="52" borderId="64" xfId="1" applyNumberFormat="1" applyFont="1" applyFill="1" applyBorder="1" applyAlignment="1">
      <alignment horizontal="center" vertical="center"/>
    </xf>
    <xf numFmtId="14" fontId="38" fillId="52" borderId="64" xfId="1" applyNumberFormat="1" applyFont="1" applyFill="1" applyBorder="1" applyAlignment="1">
      <alignment horizontal="center" vertical="center"/>
    </xf>
    <xf numFmtId="0" fontId="104" fillId="17" borderId="0" xfId="15" applyFont="1" applyFill="1" applyBorder="1" applyAlignment="1">
      <alignment horizontal="left" vertical="center"/>
    </xf>
    <xf numFmtId="0" fontId="104" fillId="56" borderId="4" xfId="15" applyFont="1" applyFill="1" applyBorder="1" applyAlignment="1">
      <alignment horizontal="left" vertical="center"/>
    </xf>
    <xf numFmtId="3" fontId="39" fillId="29" borderId="491" xfId="1" applyNumberFormat="1" applyFont="1" applyFill="1" applyBorder="1" applyAlignment="1">
      <alignment horizontal="center" vertical="center"/>
    </xf>
    <xf numFmtId="3" fontId="17" fillId="35" borderId="72" xfId="1" applyNumberFormat="1" applyFont="1" applyFill="1" applyBorder="1" applyAlignment="1">
      <alignment horizontal="center" vertical="center"/>
    </xf>
    <xf numFmtId="3" fontId="17" fillId="4" borderId="27" xfId="1" applyNumberFormat="1" applyFont="1" applyFill="1" applyBorder="1" applyAlignment="1">
      <alignment horizontal="center" vertical="center"/>
    </xf>
    <xf numFmtId="0" fontId="45" fillId="0" borderId="480" xfId="1" applyFont="1" applyFill="1" applyBorder="1" applyAlignment="1">
      <alignment vertical="center"/>
    </xf>
    <xf numFmtId="0" fontId="86" fillId="0" borderId="480" xfId="1" applyFont="1" applyFill="1" applyBorder="1" applyAlignment="1">
      <alignment horizontal="left" vertical="center"/>
    </xf>
    <xf numFmtId="169" fontId="17" fillId="0" borderId="505" xfId="1" applyNumberFormat="1" applyFont="1" applyFill="1" applyBorder="1" applyAlignment="1">
      <alignment horizontal="right" vertical="center"/>
    </xf>
    <xf numFmtId="0" fontId="49" fillId="0" borderId="0" xfId="0" applyFont="1" applyBorder="1" applyAlignment="1">
      <alignment horizontal="left" vertical="center"/>
    </xf>
    <xf numFmtId="0" fontId="46" fillId="0" borderId="507" xfId="1" applyFont="1" applyFill="1" applyBorder="1" applyAlignment="1">
      <alignment horizontal="center"/>
    </xf>
    <xf numFmtId="3" fontId="45" fillId="0" borderId="480" xfId="1" applyNumberFormat="1" applyFont="1" applyFill="1" applyBorder="1" applyAlignment="1">
      <alignment horizontal="center" vertical="center"/>
    </xf>
    <xf numFmtId="3" fontId="45" fillId="0" borderId="506" xfId="1" applyNumberFormat="1" applyFont="1" applyFill="1" applyBorder="1" applyAlignment="1">
      <alignment horizontal="center" vertical="center"/>
    </xf>
    <xf numFmtId="3" fontId="45" fillId="0" borderId="508" xfId="1" applyNumberFormat="1" applyFont="1" applyFill="1" applyBorder="1" applyAlignment="1">
      <alignment horizontal="center" vertical="center"/>
    </xf>
    <xf numFmtId="0" fontId="46" fillId="0" borderId="507" xfId="1" applyFont="1" applyFill="1" applyBorder="1" applyAlignment="1">
      <alignment horizontal="left" vertical="center"/>
    </xf>
    <xf numFmtId="0" fontId="84" fillId="0" borderId="414" xfId="15" applyFont="1" applyFill="1" applyBorder="1" applyAlignment="1">
      <alignment horizontal="left" vertical="center"/>
    </xf>
    <xf numFmtId="0" fontId="83" fillId="0" borderId="228" xfId="15" applyFont="1" applyFill="1" applyBorder="1" applyAlignment="1">
      <alignment horizontal="left" vertical="center"/>
    </xf>
    <xf numFmtId="0" fontId="69" fillId="0" borderId="232" xfId="1" applyFont="1" applyFill="1" applyBorder="1" applyAlignment="1">
      <alignment horizontal="center" vertical="center"/>
    </xf>
    <xf numFmtId="3" fontId="39" fillId="28" borderId="509" xfId="1" applyNumberFormat="1" applyFont="1" applyFill="1" applyBorder="1" applyAlignment="1">
      <alignment horizontal="center" vertical="center"/>
    </xf>
    <xf numFmtId="3" fontId="38" fillId="0" borderId="509" xfId="1" applyNumberFormat="1" applyFont="1" applyFill="1" applyBorder="1" applyAlignment="1">
      <alignment horizontal="center" vertical="center"/>
    </xf>
    <xf numFmtId="3" fontId="17" fillId="0" borderId="509" xfId="1" applyNumberFormat="1" applyFont="1" applyFill="1" applyBorder="1" applyAlignment="1">
      <alignment horizontal="center" vertical="center"/>
    </xf>
    <xf numFmtId="3" fontId="38" fillId="8" borderId="509" xfId="1" applyNumberFormat="1" applyFont="1" applyFill="1" applyBorder="1" applyAlignment="1">
      <alignment horizontal="center" vertical="center"/>
    </xf>
    <xf numFmtId="3" fontId="38" fillId="28" borderId="509" xfId="1" applyNumberFormat="1" applyFont="1" applyFill="1" applyBorder="1" applyAlignment="1">
      <alignment horizontal="left" vertical="center"/>
    </xf>
    <xf numFmtId="0" fontId="17" fillId="28" borderId="509" xfId="1" applyFont="1" applyFill="1" applyBorder="1" applyAlignment="1">
      <alignment horizontal="center" vertical="center"/>
    </xf>
    <xf numFmtId="172" fontId="38" fillId="28" borderId="509" xfId="1" applyNumberFormat="1" applyFont="1" applyFill="1" applyBorder="1" applyAlignment="1">
      <alignment horizontal="center" vertical="center"/>
    </xf>
    <xf numFmtId="14" fontId="38" fillId="28" borderId="509" xfId="1" applyNumberFormat="1" applyFont="1" applyFill="1" applyBorder="1" applyAlignment="1">
      <alignment horizontal="center" vertical="center"/>
    </xf>
    <xf numFmtId="2" fontId="38" fillId="29" borderId="510" xfId="1" applyNumberFormat="1" applyFont="1" applyFill="1" applyBorder="1" applyAlignment="1">
      <alignment horizontal="center" vertical="center"/>
    </xf>
    <xf numFmtId="3" fontId="39" fillId="28" borderId="508" xfId="1" applyNumberFormat="1" applyFont="1" applyFill="1" applyBorder="1" applyAlignment="1">
      <alignment horizontal="center" vertical="center"/>
    </xf>
    <xf numFmtId="3" fontId="38" fillId="0" borderId="508" xfId="1" applyNumberFormat="1" applyFont="1" applyFill="1" applyBorder="1" applyAlignment="1">
      <alignment horizontal="center" vertical="center"/>
    </xf>
    <xf numFmtId="3" fontId="17" fillId="0" borderId="508" xfId="1" applyNumberFormat="1" applyFont="1" applyFill="1" applyBorder="1" applyAlignment="1">
      <alignment horizontal="center" vertical="center"/>
    </xf>
    <xf numFmtId="3" fontId="38" fillId="28" borderId="508" xfId="1" applyNumberFormat="1" applyFont="1" applyFill="1" applyBorder="1" applyAlignment="1">
      <alignment horizontal="left" vertical="center"/>
    </xf>
    <xf numFmtId="0" fontId="17" fillId="28" borderId="508" xfId="1" applyFont="1" applyFill="1" applyBorder="1" applyAlignment="1">
      <alignment horizontal="center" vertical="center"/>
    </xf>
    <xf numFmtId="172" fontId="38" fillId="28" borderId="508" xfId="1" applyNumberFormat="1" applyFont="1" applyFill="1" applyBorder="1" applyAlignment="1">
      <alignment horizontal="center" vertical="center"/>
    </xf>
    <xf numFmtId="14" fontId="38" fillId="28" borderId="508" xfId="1" applyNumberFormat="1" applyFont="1" applyFill="1" applyBorder="1" applyAlignment="1">
      <alignment horizontal="center" vertical="center"/>
    </xf>
    <xf numFmtId="3" fontId="39" fillId="35" borderId="255" xfId="1" applyNumberFormat="1" applyFont="1" applyFill="1" applyBorder="1" applyAlignment="1">
      <alignment horizontal="center" vertical="center"/>
    </xf>
    <xf numFmtId="3" fontId="17" fillId="0" borderId="346" xfId="1" applyNumberFormat="1" applyFont="1" applyFill="1" applyBorder="1" applyAlignment="1">
      <alignment horizontal="center" vertical="center"/>
    </xf>
    <xf numFmtId="0" fontId="104" fillId="56" borderId="8" xfId="15" applyFont="1" applyFill="1" applyBorder="1" applyAlignment="1">
      <alignment horizontal="left" vertical="center"/>
    </xf>
    <xf numFmtId="169" fontId="38" fillId="3" borderId="46" xfId="1" applyNumberFormat="1" applyFont="1" applyFill="1" applyBorder="1" applyAlignment="1">
      <alignment horizontal="right" vertical="center"/>
    </xf>
    <xf numFmtId="0" fontId="45" fillId="0" borderId="149" xfId="15" applyFont="1" applyFill="1" applyBorder="1" applyAlignment="1">
      <alignment horizontal="left" vertical="center"/>
    </xf>
    <xf numFmtId="0" fontId="82" fillId="0" borderId="484" xfId="15" applyFont="1" applyFill="1" applyBorder="1" applyAlignment="1">
      <alignment horizontal="left" vertical="center"/>
    </xf>
    <xf numFmtId="0" fontId="82" fillId="0" borderId="39" xfId="15" applyFont="1" applyFill="1" applyBorder="1" applyAlignment="1">
      <alignment horizontal="left" vertical="center"/>
    </xf>
    <xf numFmtId="169" fontId="96" fillId="0" borderId="174" xfId="1" applyNumberFormat="1" applyFont="1" applyFill="1" applyBorder="1" applyAlignment="1">
      <alignment horizontal="right" vertical="center"/>
    </xf>
    <xf numFmtId="0" fontId="82" fillId="0" borderId="184" xfId="15" applyFont="1" applyFill="1" applyBorder="1" applyAlignment="1">
      <alignment horizontal="left" vertical="center"/>
    </xf>
    <xf numFmtId="0" fontId="48" fillId="0" borderId="82" xfId="1" applyFont="1" applyFill="1" applyBorder="1" applyAlignment="1">
      <alignment vertical="center"/>
    </xf>
    <xf numFmtId="169" fontId="17" fillId="0" borderId="176" xfId="1" applyNumberFormat="1" applyFont="1" applyFill="1" applyBorder="1" applyAlignment="1">
      <alignment horizontal="right" vertical="center"/>
    </xf>
    <xf numFmtId="0" fontId="104" fillId="0" borderId="163" xfId="15" applyFont="1" applyFill="1" applyBorder="1" applyAlignment="1">
      <alignment horizontal="left" vertical="center"/>
    </xf>
    <xf numFmtId="0" fontId="45" fillId="0" borderId="143" xfId="1" applyFont="1" applyFill="1" applyBorder="1" applyAlignment="1">
      <alignment horizontal="center" vertical="center"/>
    </xf>
    <xf numFmtId="169" fontId="38" fillId="0" borderId="107" xfId="1" applyNumberFormat="1" applyFont="1" applyFill="1" applyBorder="1" applyAlignment="1">
      <alignment horizontal="right" vertical="center"/>
    </xf>
    <xf numFmtId="0" fontId="104" fillId="0" borderId="202" xfId="15" applyFont="1" applyFill="1" applyBorder="1" applyAlignment="1">
      <alignment horizontal="left" vertical="center"/>
    </xf>
    <xf numFmtId="0" fontId="45" fillId="0" borderId="158" xfId="1" applyFont="1" applyFill="1" applyBorder="1" applyAlignment="1">
      <alignment vertical="center"/>
    </xf>
    <xf numFmtId="0" fontId="45" fillId="0" borderId="158" xfId="1" applyFont="1" applyFill="1" applyBorder="1" applyAlignment="1">
      <alignment horizontal="center" vertical="center"/>
    </xf>
    <xf numFmtId="169" fontId="41" fillId="0" borderId="171" xfId="1" applyNumberFormat="1" applyFont="1" applyFill="1" applyBorder="1" applyAlignment="1">
      <alignment horizontal="right" vertical="center"/>
    </xf>
    <xf numFmtId="169" fontId="41" fillId="0" borderId="42" xfId="1" applyNumberFormat="1" applyFont="1" applyFill="1" applyBorder="1" applyAlignment="1">
      <alignment horizontal="right" vertical="center"/>
    </xf>
    <xf numFmtId="3" fontId="46" fillId="0" borderId="190" xfId="1" applyNumberFormat="1" applyFont="1" applyFill="1" applyBorder="1" applyAlignment="1">
      <alignment horizontal="center" vertical="center"/>
    </xf>
    <xf numFmtId="3" fontId="46" fillId="0" borderId="54" xfId="1" applyNumberFormat="1" applyFont="1" applyFill="1" applyBorder="1" applyAlignment="1">
      <alignment horizontal="center" vertical="center"/>
    </xf>
    <xf numFmtId="3" fontId="45" fillId="0" borderId="480" xfId="1" applyNumberFormat="1" applyFont="1" applyFill="1" applyBorder="1" applyAlignment="1">
      <alignment horizontal="left" vertical="center"/>
    </xf>
    <xf numFmtId="169" fontId="17" fillId="0" borderId="511" xfId="1" applyNumberFormat="1" applyFont="1" applyFill="1" applyBorder="1" applyAlignment="1">
      <alignment horizontal="right" vertical="center"/>
    </xf>
    <xf numFmtId="0" fontId="117" fillId="35" borderId="8" xfId="1" applyFont="1" applyFill="1" applyBorder="1" applyAlignment="1">
      <alignment horizontal="center"/>
    </xf>
    <xf numFmtId="0" fontId="59" fillId="35" borderId="4" xfId="1" applyFont="1" applyFill="1" applyBorder="1" applyAlignment="1">
      <alignment horizontal="center"/>
    </xf>
    <xf numFmtId="3" fontId="17" fillId="35" borderId="365" xfId="1" applyNumberFormat="1" applyFont="1" applyFill="1" applyBorder="1" applyAlignment="1">
      <alignment horizontal="center" vertical="center"/>
    </xf>
    <xf numFmtId="3" fontId="39" fillId="34" borderId="304" xfId="1" applyNumberFormat="1" applyFont="1" applyFill="1" applyBorder="1" applyAlignment="1">
      <alignment horizontal="center" vertical="center"/>
    </xf>
    <xf numFmtId="3" fontId="39" fillId="35" borderId="169" xfId="1" applyNumberFormat="1" applyFont="1" applyFill="1" applyBorder="1" applyAlignment="1">
      <alignment horizontal="center" vertical="center"/>
    </xf>
    <xf numFmtId="3" fontId="38" fillId="34" borderId="304" xfId="1" applyNumberFormat="1" applyFont="1" applyFill="1" applyBorder="1" applyAlignment="1">
      <alignment horizontal="left" vertical="center"/>
    </xf>
    <xf numFmtId="3" fontId="38" fillId="41" borderId="325" xfId="1" applyNumberFormat="1" applyFont="1" applyFill="1" applyBorder="1" applyAlignment="1">
      <alignment horizontal="left" vertical="center"/>
    </xf>
    <xf numFmtId="3" fontId="38" fillId="35" borderId="169" xfId="1" applyNumberFormat="1" applyFont="1" applyFill="1" applyBorder="1" applyAlignment="1">
      <alignment horizontal="center" vertical="center"/>
    </xf>
    <xf numFmtId="0" fontId="17" fillId="34" borderId="304" xfId="1" applyFont="1" applyFill="1" applyBorder="1" applyAlignment="1">
      <alignment horizontal="center" vertical="center"/>
    </xf>
    <xf numFmtId="0" fontId="17" fillId="35" borderId="169" xfId="1" applyFont="1" applyFill="1" applyBorder="1" applyAlignment="1">
      <alignment horizontal="center" vertical="center"/>
    </xf>
    <xf numFmtId="172" fontId="38" fillId="34" borderId="304" xfId="1" applyNumberFormat="1" applyFont="1" applyFill="1" applyBorder="1" applyAlignment="1">
      <alignment horizontal="center" vertical="center"/>
    </xf>
    <xf numFmtId="14" fontId="38" fillId="34" borderId="304" xfId="1" applyNumberFormat="1" applyFont="1" applyFill="1" applyBorder="1" applyAlignment="1">
      <alignment horizontal="center" vertical="center"/>
    </xf>
    <xf numFmtId="14" fontId="38" fillId="41" borderId="325" xfId="1" applyNumberFormat="1" applyFont="1" applyFill="1" applyBorder="1" applyAlignment="1">
      <alignment horizontal="center" vertical="center"/>
    </xf>
    <xf numFmtId="0" fontId="45" fillId="0" borderId="479" xfId="1" applyFont="1" applyFill="1" applyBorder="1" applyAlignment="1">
      <alignment horizontal="left" vertical="center"/>
    </xf>
    <xf numFmtId="0" fontId="23" fillId="38" borderId="17" xfId="1" applyFont="1" applyFill="1" applyBorder="1" applyAlignment="1">
      <alignment horizontal="center" vertical="center"/>
    </xf>
    <xf numFmtId="0" fontId="115" fillId="34" borderId="0" xfId="1" applyFont="1" applyFill="1" applyBorder="1" applyAlignment="1">
      <alignment horizontal="left" vertical="center"/>
    </xf>
    <xf numFmtId="3" fontId="17" fillId="35" borderId="386" xfId="1" applyNumberFormat="1" applyFont="1" applyFill="1" applyBorder="1" applyAlignment="1">
      <alignment horizontal="center" vertical="center"/>
    </xf>
    <xf numFmtId="3" fontId="17" fillId="11" borderId="395" xfId="1" applyNumberFormat="1" applyFont="1" applyFill="1" applyBorder="1" applyAlignment="1">
      <alignment horizontal="center" vertical="center"/>
    </xf>
    <xf numFmtId="3" fontId="38" fillId="11" borderId="395" xfId="1" applyNumberFormat="1" applyFont="1" applyFill="1" applyBorder="1" applyAlignment="1">
      <alignment horizontal="left" vertical="center"/>
    </xf>
    <xf numFmtId="3" fontId="38" fillId="4" borderId="243" xfId="1" applyNumberFormat="1" applyFont="1" applyFill="1" applyBorder="1" applyAlignment="1">
      <alignment horizontal="left" vertical="center"/>
    </xf>
    <xf numFmtId="3" fontId="38" fillId="24" borderId="357" xfId="1" applyNumberFormat="1" applyFont="1" applyFill="1" applyBorder="1" applyAlignment="1">
      <alignment horizontal="center" vertical="center"/>
    </xf>
    <xf numFmtId="0" fontId="17" fillId="11" borderId="395" xfId="1" applyFont="1" applyFill="1" applyBorder="1" applyAlignment="1">
      <alignment horizontal="center" vertical="center"/>
    </xf>
    <xf numFmtId="172" fontId="38" fillId="11" borderId="395" xfId="1" applyNumberFormat="1" applyFont="1" applyFill="1" applyBorder="1" applyAlignment="1">
      <alignment horizontal="center" vertical="center"/>
    </xf>
    <xf numFmtId="172" fontId="38" fillId="24" borderId="368" xfId="1" applyNumberFormat="1" applyFont="1" applyFill="1" applyBorder="1" applyAlignment="1">
      <alignment horizontal="center" vertical="center"/>
    </xf>
    <xf numFmtId="172" fontId="38" fillId="4" borderId="243" xfId="1" applyNumberFormat="1" applyFont="1" applyFill="1" applyBorder="1" applyAlignment="1">
      <alignment horizontal="center" vertical="center"/>
    </xf>
    <xf numFmtId="14" fontId="38" fillId="11" borderId="395" xfId="1" applyNumberFormat="1" applyFont="1" applyFill="1" applyBorder="1" applyAlignment="1">
      <alignment horizontal="center" vertical="center"/>
    </xf>
    <xf numFmtId="14" fontId="38" fillId="4" borderId="243" xfId="1" applyNumberFormat="1" applyFont="1" applyFill="1" applyBorder="1" applyAlignment="1">
      <alignment horizontal="center" vertical="center"/>
    </xf>
    <xf numFmtId="14" fontId="38" fillId="11" borderId="397" xfId="1" applyNumberFormat="1" applyFont="1" applyFill="1" applyBorder="1" applyAlignment="1">
      <alignment horizontal="center" vertical="center"/>
    </xf>
    <xf numFmtId="14" fontId="38" fillId="5" borderId="313" xfId="1" applyNumberFormat="1" applyFont="1" applyFill="1" applyBorder="1" applyAlignment="1">
      <alignment horizontal="center" vertical="center"/>
    </xf>
    <xf numFmtId="14" fontId="38" fillId="24" borderId="319" xfId="1" applyNumberFormat="1" applyFont="1" applyFill="1" applyBorder="1" applyAlignment="1">
      <alignment horizontal="center" vertical="center"/>
    </xf>
    <xf numFmtId="2" fontId="38" fillId="11" borderId="390" xfId="1" applyNumberFormat="1" applyFont="1" applyFill="1" applyBorder="1" applyAlignment="1">
      <alignment horizontal="center" vertical="center"/>
    </xf>
    <xf numFmtId="2" fontId="38" fillId="24" borderId="388" xfId="1" applyNumberFormat="1" applyFont="1" applyFill="1" applyBorder="1" applyAlignment="1">
      <alignment horizontal="center" vertical="center"/>
    </xf>
    <xf numFmtId="2" fontId="38" fillId="4" borderId="310" xfId="1" applyNumberFormat="1" applyFont="1" applyFill="1" applyBorder="1" applyAlignment="1">
      <alignment horizontal="center" vertical="center"/>
    </xf>
    <xf numFmtId="0" fontId="43" fillId="41" borderId="338" xfId="1" applyFont="1" applyFill="1" applyBorder="1" applyAlignment="1">
      <alignment horizontal="center" vertical="center"/>
    </xf>
    <xf numFmtId="3" fontId="17" fillId="29" borderId="491" xfId="1" applyNumberFormat="1" applyFont="1" applyFill="1" applyBorder="1" applyAlignment="1">
      <alignment horizontal="center" vertical="center"/>
    </xf>
    <xf numFmtId="3" fontId="39" fillId="25" borderId="102" xfId="1" applyNumberFormat="1" applyFont="1" applyFill="1" applyBorder="1" applyAlignment="1">
      <alignment horizontal="center" vertical="center"/>
    </xf>
    <xf numFmtId="3" fontId="17" fillId="8" borderId="509" xfId="1" applyNumberFormat="1" applyFont="1" applyFill="1" applyBorder="1" applyAlignment="1">
      <alignment horizontal="center" vertical="center"/>
    </xf>
    <xf numFmtId="3" fontId="38" fillId="28" borderId="509" xfId="1" applyNumberFormat="1" applyFont="1" applyFill="1" applyBorder="1" applyAlignment="1">
      <alignment horizontal="center" vertical="center"/>
    </xf>
    <xf numFmtId="0" fontId="17" fillId="24" borderId="259" xfId="1" applyFont="1" applyFill="1" applyBorder="1" applyAlignment="1">
      <alignment horizontal="center" vertical="center"/>
    </xf>
    <xf numFmtId="3" fontId="38" fillId="28" borderId="508" xfId="1" applyNumberFormat="1" applyFont="1" applyFill="1" applyBorder="1" applyAlignment="1">
      <alignment horizontal="center" vertical="center"/>
    </xf>
    <xf numFmtId="0" fontId="23" fillId="41" borderId="17" xfId="1" applyFont="1" applyFill="1" applyBorder="1" applyAlignment="1">
      <alignment horizontal="center" vertical="center"/>
    </xf>
    <xf numFmtId="0" fontId="109" fillId="34" borderId="247" xfId="15" applyFont="1" applyFill="1" applyBorder="1" applyAlignment="1">
      <alignment horizontal="left" vertical="center"/>
    </xf>
    <xf numFmtId="0" fontId="117" fillId="29" borderId="8" xfId="1" applyFont="1" applyFill="1" applyBorder="1" applyAlignment="1">
      <alignment horizontal="center"/>
    </xf>
    <xf numFmtId="0" fontId="41" fillId="41" borderId="326" xfId="1" applyFont="1" applyFill="1" applyBorder="1" applyAlignment="1">
      <alignment horizontal="center" vertical="center"/>
    </xf>
    <xf numFmtId="3" fontId="39" fillId="35" borderId="72" xfId="1" applyNumberFormat="1" applyFont="1" applyFill="1" applyBorder="1" applyAlignment="1">
      <alignment horizontal="center" vertical="center"/>
    </xf>
    <xf numFmtId="3" fontId="38" fillId="42" borderId="64" xfId="1" applyNumberFormat="1" applyFont="1" applyFill="1" applyBorder="1" applyAlignment="1">
      <alignment horizontal="left" vertical="center"/>
    </xf>
    <xf numFmtId="172" fontId="38" fillId="42" borderId="64" xfId="1" applyNumberFormat="1" applyFont="1" applyFill="1" applyBorder="1" applyAlignment="1">
      <alignment horizontal="center" vertical="center"/>
    </xf>
    <xf numFmtId="14" fontId="38" fillId="42" borderId="64" xfId="1" applyNumberFormat="1" applyFont="1" applyFill="1" applyBorder="1" applyAlignment="1">
      <alignment horizontal="center" vertical="center"/>
    </xf>
    <xf numFmtId="3" fontId="38" fillId="26" borderId="332" xfId="1" applyNumberFormat="1" applyFont="1" applyFill="1" applyBorder="1" applyAlignment="1">
      <alignment horizontal="left" vertical="center"/>
    </xf>
    <xf numFmtId="3" fontId="38" fillId="26" borderId="332" xfId="1" applyNumberFormat="1" applyFont="1" applyFill="1" applyBorder="1" applyAlignment="1">
      <alignment horizontal="center" vertical="center"/>
    </xf>
    <xf numFmtId="0" fontId="17" fillId="26" borderId="332" xfId="1" applyFont="1" applyFill="1" applyBorder="1" applyAlignment="1">
      <alignment horizontal="center" vertical="center"/>
    </xf>
    <xf numFmtId="172" fontId="38" fillId="26" borderId="332" xfId="1" applyNumberFormat="1" applyFont="1" applyFill="1" applyBorder="1" applyAlignment="1">
      <alignment horizontal="center" vertical="center"/>
    </xf>
    <xf numFmtId="14" fontId="38" fillId="26" borderId="332" xfId="1" applyNumberFormat="1" applyFont="1" applyFill="1" applyBorder="1" applyAlignment="1">
      <alignment horizontal="center" vertical="center"/>
    </xf>
    <xf numFmtId="0" fontId="109" fillId="34" borderId="4" xfId="15" applyFont="1" applyFill="1" applyBorder="1" applyAlignment="1">
      <alignment horizontal="left" vertical="center"/>
    </xf>
    <xf numFmtId="3" fontId="17" fillId="34" borderId="365" xfId="1" applyNumberFormat="1" applyFont="1" applyFill="1" applyBorder="1" applyAlignment="1">
      <alignment horizontal="center" vertical="center"/>
    </xf>
    <xf numFmtId="3" fontId="17" fillId="34" borderId="255" xfId="1" applyNumberFormat="1" applyFont="1" applyFill="1" applyBorder="1" applyAlignment="1">
      <alignment horizontal="center" vertical="center"/>
    </xf>
    <xf numFmtId="3" fontId="37" fillId="24" borderId="325" xfId="1" applyNumberFormat="1" applyFont="1" applyFill="1" applyBorder="1" applyAlignment="1">
      <alignment horizontal="center" vertical="center"/>
    </xf>
    <xf numFmtId="3" fontId="38" fillId="8" borderId="365" xfId="1" applyNumberFormat="1" applyFont="1" applyFill="1" applyBorder="1" applyAlignment="1">
      <alignment horizontal="center" vertical="center"/>
    </xf>
    <xf numFmtId="172" fontId="17" fillId="34" borderId="386" xfId="1" applyNumberFormat="1" applyFont="1" applyFill="1" applyBorder="1" applyAlignment="1">
      <alignment horizontal="center" vertical="center"/>
    </xf>
    <xf numFmtId="0" fontId="23" fillId="25" borderId="28" xfId="1" applyFont="1" applyFill="1" applyBorder="1" applyAlignment="1">
      <alignment horizontal="center" vertical="center"/>
    </xf>
    <xf numFmtId="0" fontId="104" fillId="34" borderId="247" xfId="15" applyFont="1" applyFill="1" applyBorder="1" applyAlignment="1">
      <alignment horizontal="left" vertical="center"/>
    </xf>
    <xf numFmtId="3" fontId="17" fillId="28" borderId="509" xfId="1" applyNumberFormat="1" applyFont="1" applyFill="1" applyBorder="1" applyAlignment="1">
      <alignment horizontal="center" vertical="center"/>
    </xf>
    <xf numFmtId="3" fontId="17" fillId="34" borderId="18" xfId="1" applyNumberFormat="1" applyFont="1" applyFill="1" applyBorder="1" applyAlignment="1">
      <alignment horizontal="center" vertical="center"/>
    </xf>
    <xf numFmtId="3" fontId="17" fillId="0" borderId="104" xfId="1" applyNumberFormat="1" applyFont="1" applyFill="1" applyBorder="1" applyAlignment="1">
      <alignment horizontal="center" vertical="center"/>
    </xf>
    <xf numFmtId="3" fontId="17" fillId="25" borderId="64" xfId="1" applyNumberFormat="1" applyFont="1" applyFill="1" applyBorder="1" applyAlignment="1">
      <alignment horizontal="center" vertical="center"/>
    </xf>
    <xf numFmtId="3" fontId="17" fillId="0" borderId="426" xfId="1" applyNumberFormat="1" applyFont="1" applyFill="1" applyBorder="1" applyAlignment="1">
      <alignment horizontal="center" vertical="center"/>
    </xf>
    <xf numFmtId="3" fontId="38" fillId="29" borderId="508" xfId="1" applyNumberFormat="1" applyFont="1" applyFill="1" applyBorder="1" applyAlignment="1">
      <alignment horizontal="left" vertical="center"/>
    </xf>
    <xf numFmtId="0" fontId="17" fillId="29" borderId="508" xfId="1" applyFont="1" applyFill="1" applyBorder="1" applyAlignment="1">
      <alignment horizontal="center" vertical="center"/>
    </xf>
    <xf numFmtId="172" fontId="38" fillId="29" borderId="508" xfId="1" applyNumberFormat="1" applyFont="1" applyFill="1" applyBorder="1" applyAlignment="1">
      <alignment horizontal="center" vertical="center"/>
    </xf>
    <xf numFmtId="14" fontId="38" fillId="29" borderId="508" xfId="1" applyNumberFormat="1" applyFont="1" applyFill="1" applyBorder="1" applyAlignment="1">
      <alignment horizontal="center" vertical="center"/>
    </xf>
    <xf numFmtId="0" fontId="23" fillId="26" borderId="25" xfId="1" applyFont="1" applyFill="1" applyBorder="1" applyAlignment="1">
      <alignment horizontal="center" vertical="center"/>
    </xf>
    <xf numFmtId="3" fontId="39" fillId="35" borderId="24" xfId="1" applyNumberFormat="1" applyFont="1" applyFill="1" applyBorder="1" applyAlignment="1">
      <alignment horizontal="center" vertical="center"/>
    </xf>
    <xf numFmtId="3" fontId="17" fillId="0" borderId="415" xfId="1" applyNumberFormat="1" applyFont="1" applyFill="1" applyBorder="1" applyAlignment="1">
      <alignment horizontal="center" vertical="center"/>
    </xf>
    <xf numFmtId="3" fontId="38" fillId="24" borderId="283" xfId="1" applyNumberFormat="1" applyFont="1" applyFill="1" applyBorder="1" applyAlignment="1">
      <alignment horizontal="center" vertical="center"/>
    </xf>
    <xf numFmtId="0" fontId="43" fillId="26" borderId="25" xfId="1" applyFont="1" applyFill="1" applyBorder="1" applyAlignment="1">
      <alignment horizontal="center" vertical="center"/>
    </xf>
    <xf numFmtId="0" fontId="43" fillId="27" borderId="21" xfId="1" applyFont="1" applyFill="1" applyBorder="1" applyAlignment="1">
      <alignment horizontal="center" vertical="center"/>
    </xf>
    <xf numFmtId="0" fontId="117" fillId="34" borderId="4" xfId="1" applyFont="1" applyFill="1" applyBorder="1" applyAlignment="1">
      <alignment horizontal="center"/>
    </xf>
    <xf numFmtId="3" fontId="39" fillId="35" borderId="102" xfId="1" applyNumberFormat="1" applyFont="1" applyFill="1" applyBorder="1" applyAlignment="1">
      <alignment horizontal="center" vertical="center"/>
    </xf>
    <xf numFmtId="3" fontId="39" fillId="41" borderId="325" xfId="1" applyNumberFormat="1" applyFont="1" applyFill="1" applyBorder="1" applyAlignment="1">
      <alignment horizontal="center" vertical="center"/>
    </xf>
    <xf numFmtId="3" fontId="38" fillId="29" borderId="509" xfId="1" applyNumberFormat="1" applyFont="1" applyFill="1" applyBorder="1" applyAlignment="1">
      <alignment horizontal="left" vertical="center"/>
    </xf>
    <xf numFmtId="3" fontId="38" fillId="27" borderId="332" xfId="1" applyNumberFormat="1" applyFont="1" applyFill="1" applyBorder="1" applyAlignment="1">
      <alignment horizontal="left" vertical="center"/>
    </xf>
    <xf numFmtId="3" fontId="38" fillId="29" borderId="509" xfId="1" applyNumberFormat="1" applyFont="1" applyFill="1" applyBorder="1" applyAlignment="1">
      <alignment horizontal="center" vertical="center"/>
    </xf>
    <xf numFmtId="3" fontId="38" fillId="27" borderId="332" xfId="1" applyNumberFormat="1" applyFont="1" applyFill="1" applyBorder="1" applyAlignment="1">
      <alignment horizontal="center" vertical="center"/>
    </xf>
    <xf numFmtId="0" fontId="17" fillId="29" borderId="509" xfId="1" applyFont="1" applyFill="1" applyBorder="1" applyAlignment="1">
      <alignment horizontal="center" vertical="center"/>
    </xf>
    <xf numFmtId="0" fontId="17" fillId="27" borderId="332" xfId="1" applyFont="1" applyFill="1" applyBorder="1" applyAlignment="1">
      <alignment horizontal="center" vertical="center"/>
    </xf>
    <xf numFmtId="172" fontId="38" fillId="29" borderId="509" xfId="1" applyNumberFormat="1" applyFont="1" applyFill="1" applyBorder="1" applyAlignment="1">
      <alignment horizontal="center" vertical="center"/>
    </xf>
    <xf numFmtId="172" fontId="38" fillId="27" borderId="332" xfId="1" applyNumberFormat="1" applyFont="1" applyFill="1" applyBorder="1" applyAlignment="1">
      <alignment horizontal="center" vertical="center"/>
    </xf>
    <xf numFmtId="14" fontId="38" fillId="29" borderId="509" xfId="1" applyNumberFormat="1" applyFont="1" applyFill="1" applyBorder="1" applyAlignment="1">
      <alignment horizontal="center" vertical="center"/>
    </xf>
    <xf numFmtId="14" fontId="38" fillId="27" borderId="332" xfId="1" applyNumberFormat="1" applyFont="1" applyFill="1" applyBorder="1" applyAlignment="1">
      <alignment horizontal="center" vertical="center"/>
    </xf>
    <xf numFmtId="2" fontId="38" fillId="3" borderId="183" xfId="1" applyNumberFormat="1" applyFont="1" applyFill="1" applyBorder="1" applyAlignment="1">
      <alignment horizontal="center" vertical="center"/>
    </xf>
    <xf numFmtId="0" fontId="23" fillId="24" borderId="419" xfId="1" applyFont="1" applyFill="1" applyBorder="1" applyAlignment="1">
      <alignment horizontal="center" vertical="center"/>
    </xf>
    <xf numFmtId="0" fontId="17" fillId="24" borderId="283" xfId="1" applyFont="1" applyFill="1" applyBorder="1" applyAlignment="1">
      <alignment horizontal="center" vertical="center"/>
    </xf>
    <xf numFmtId="0" fontId="49" fillId="0" borderId="0" xfId="0" applyFont="1" applyBorder="1" applyAlignment="1">
      <alignment horizontal="left" vertical="center"/>
    </xf>
    <xf numFmtId="3" fontId="45" fillId="0" borderId="512" xfId="1" applyNumberFormat="1" applyFont="1" applyFill="1" applyBorder="1" applyAlignment="1">
      <alignment horizontal="center" vertical="center"/>
    </xf>
    <xf numFmtId="3" fontId="45" fillId="0" borderId="513" xfId="1" applyNumberFormat="1" applyFont="1" applyFill="1" applyBorder="1" applyAlignment="1">
      <alignment horizontal="center" vertical="center"/>
    </xf>
    <xf numFmtId="3" fontId="45" fillId="0" borderId="514" xfId="1" applyNumberFormat="1" applyFont="1" applyFill="1" applyBorder="1" applyAlignment="1">
      <alignment horizontal="center" vertical="center"/>
    </xf>
    <xf numFmtId="3" fontId="45" fillId="0" borderId="507" xfId="1" applyNumberFormat="1" applyFont="1" applyFill="1" applyBorder="1" applyAlignment="1">
      <alignment horizontal="center" vertical="center"/>
    </xf>
    <xf numFmtId="0" fontId="49" fillId="0" borderId="0" xfId="0" applyFont="1" applyBorder="1" applyAlignment="1">
      <alignment horizontal="left" vertical="center"/>
    </xf>
    <xf numFmtId="0" fontId="59" fillId="0" borderId="515" xfId="1" applyFont="1" applyFill="1" applyBorder="1" applyAlignment="1">
      <alignment horizontal="center" vertical="center"/>
    </xf>
    <xf numFmtId="3" fontId="45" fillId="0" borderId="509" xfId="1" applyNumberFormat="1" applyFont="1" applyFill="1" applyBorder="1" applyAlignment="1">
      <alignment horizontal="center" vertical="center"/>
    </xf>
    <xf numFmtId="0" fontId="23" fillId="0" borderId="327" xfId="1" applyFont="1" applyFill="1" applyBorder="1" applyAlignment="1">
      <alignment horizontal="left" vertical="center"/>
    </xf>
    <xf numFmtId="0" fontId="49" fillId="0" borderId="0" xfId="0" applyFont="1" applyBorder="1" applyAlignment="1">
      <alignment horizontal="left" vertical="center"/>
    </xf>
    <xf numFmtId="0" fontId="82" fillId="17" borderId="118" xfId="15" applyFont="1" applyFill="1" applyBorder="1" applyAlignment="1">
      <alignment horizontal="left" vertical="center"/>
    </xf>
    <xf numFmtId="0" fontId="23" fillId="35" borderId="25" xfId="1" applyFont="1" applyFill="1" applyBorder="1" applyAlignment="1">
      <alignment horizontal="center" vertical="center"/>
    </xf>
    <xf numFmtId="0" fontId="73" fillId="24" borderId="4" xfId="1" applyFont="1" applyFill="1" applyBorder="1" applyAlignment="1">
      <alignment horizontal="left" vertical="center"/>
    </xf>
    <xf numFmtId="0" fontId="73" fillId="25" borderId="8" xfId="1" applyFont="1" applyFill="1" applyBorder="1" applyAlignment="1">
      <alignment horizontal="left" vertical="center"/>
    </xf>
    <xf numFmtId="3" fontId="39" fillId="35" borderId="258" xfId="1" applyNumberFormat="1" applyFont="1" applyFill="1" applyBorder="1" applyAlignment="1">
      <alignment horizontal="center" vertical="center"/>
    </xf>
    <xf numFmtId="3" fontId="17" fillId="4" borderId="291" xfId="1" applyNumberFormat="1" applyFont="1" applyFill="1" applyBorder="1" applyAlignment="1">
      <alignment horizontal="center" vertical="center"/>
    </xf>
    <xf numFmtId="3" fontId="38" fillId="35" borderId="24" xfId="1" applyNumberFormat="1" applyFont="1" applyFill="1" applyBorder="1" applyAlignment="1">
      <alignment horizontal="center" vertical="center"/>
    </xf>
    <xf numFmtId="0" fontId="59" fillId="0" borderId="486" xfId="1" applyFont="1" applyFill="1" applyBorder="1" applyAlignment="1">
      <alignment horizontal="center" vertical="center"/>
    </xf>
    <xf numFmtId="3" fontId="17" fillId="0" borderId="517" xfId="1" applyNumberFormat="1" applyFont="1" applyBorder="1" applyAlignment="1">
      <alignment horizontal="center" vertical="center"/>
    </xf>
    <xf numFmtId="0" fontId="69" fillId="0" borderId="507" xfId="1" applyFont="1" applyFill="1" applyBorder="1" applyAlignment="1">
      <alignment horizontal="center" vertical="center"/>
    </xf>
    <xf numFmtId="0" fontId="45" fillId="0" borderId="404" xfId="15" applyFont="1" applyFill="1" applyBorder="1" applyAlignment="1">
      <alignment horizontal="left" vertical="center"/>
    </xf>
    <xf numFmtId="0" fontId="117" fillId="27" borderId="8" xfId="1" applyFont="1" applyFill="1" applyBorder="1" applyAlignment="1">
      <alignment horizontal="center"/>
    </xf>
    <xf numFmtId="3" fontId="39" fillId="27" borderId="102" xfId="1" applyNumberFormat="1" applyFont="1" applyFill="1" applyBorder="1" applyAlignment="1">
      <alignment horizontal="center" vertical="center"/>
    </xf>
    <xf numFmtId="3" fontId="39" fillId="27" borderId="72" xfId="1" applyNumberFormat="1" applyFont="1" applyFill="1" applyBorder="1" applyAlignment="1">
      <alignment horizontal="center" vertical="center"/>
    </xf>
    <xf numFmtId="3" fontId="17" fillId="8" borderId="331" xfId="1" applyNumberFormat="1" applyFont="1" applyFill="1" applyBorder="1" applyAlignment="1">
      <alignment horizontal="center" vertical="center"/>
    </xf>
    <xf numFmtId="3" fontId="38" fillId="27" borderId="331" xfId="1" applyNumberFormat="1" applyFont="1" applyFill="1" applyBorder="1" applyAlignment="1">
      <alignment horizontal="left" vertical="center"/>
    </xf>
    <xf numFmtId="3" fontId="38" fillId="27" borderId="72" xfId="1" applyNumberFormat="1" applyFont="1" applyFill="1" applyBorder="1" applyAlignment="1">
      <alignment horizontal="left" vertical="center"/>
    </xf>
    <xf numFmtId="3" fontId="38" fillId="27" borderId="331" xfId="1" applyNumberFormat="1" applyFont="1" applyFill="1" applyBorder="1" applyAlignment="1">
      <alignment horizontal="center" vertical="center"/>
    </xf>
    <xf numFmtId="3" fontId="17" fillId="25" borderId="72" xfId="1" applyNumberFormat="1" applyFont="1" applyFill="1" applyBorder="1" applyAlignment="1">
      <alignment horizontal="center" vertical="center"/>
    </xf>
    <xf numFmtId="3" fontId="38" fillId="27" borderId="72" xfId="1" applyNumberFormat="1" applyFont="1" applyFill="1" applyBorder="1" applyAlignment="1">
      <alignment horizontal="center" vertical="center"/>
    </xf>
    <xf numFmtId="0" fontId="17" fillId="34" borderId="55" xfId="1" applyFont="1" applyFill="1" applyBorder="1" applyAlignment="1">
      <alignment horizontal="center" vertical="center"/>
    </xf>
    <xf numFmtId="0" fontId="17" fillId="27" borderId="72" xfId="1" applyFont="1" applyFill="1" applyBorder="1" applyAlignment="1">
      <alignment horizontal="center" vertical="center"/>
    </xf>
    <xf numFmtId="172" fontId="17" fillId="25" borderId="64" xfId="1" applyNumberFormat="1" applyFont="1" applyFill="1" applyBorder="1" applyAlignment="1">
      <alignment horizontal="center" vertical="center"/>
    </xf>
    <xf numFmtId="172" fontId="38" fillId="41" borderId="325" xfId="1" applyNumberFormat="1" applyFont="1" applyFill="1" applyBorder="1" applyAlignment="1">
      <alignment horizontal="center" vertical="center"/>
    </xf>
    <xf numFmtId="172" fontId="38" fillId="27" borderId="331" xfId="1" applyNumberFormat="1" applyFont="1" applyFill="1" applyBorder="1" applyAlignment="1">
      <alignment horizontal="center" vertical="center"/>
    </xf>
    <xf numFmtId="14" fontId="38" fillId="27" borderId="72" xfId="1" applyNumberFormat="1" applyFont="1" applyFill="1" applyBorder="1" applyAlignment="1">
      <alignment horizontal="center" vertical="center"/>
    </xf>
    <xf numFmtId="3" fontId="17" fillId="25" borderId="256" xfId="1" applyNumberFormat="1" applyFont="1" applyFill="1" applyBorder="1" applyAlignment="1">
      <alignment horizontal="center" vertical="center"/>
    </xf>
    <xf numFmtId="3" fontId="39" fillId="24" borderId="259" xfId="1" applyNumberFormat="1" applyFont="1" applyFill="1" applyBorder="1" applyAlignment="1">
      <alignment horizontal="center" vertical="center"/>
    </xf>
    <xf numFmtId="3" fontId="39" fillId="25" borderId="252" xfId="1" applyNumberFormat="1" applyFont="1" applyFill="1" applyBorder="1" applyAlignment="1">
      <alignment horizontal="center" vertical="center"/>
    </xf>
    <xf numFmtId="3" fontId="38" fillId="25" borderId="245" xfId="1" applyNumberFormat="1" applyFont="1" applyFill="1" applyBorder="1" applyAlignment="1">
      <alignment horizontal="left" vertical="center"/>
    </xf>
    <xf numFmtId="172" fontId="38" fillId="25" borderId="245" xfId="1" applyNumberFormat="1" applyFont="1" applyFill="1" applyBorder="1" applyAlignment="1">
      <alignment horizontal="center" vertical="center"/>
    </xf>
    <xf numFmtId="14" fontId="38" fillId="25" borderId="245" xfId="1" applyNumberFormat="1" applyFont="1" applyFill="1" applyBorder="1" applyAlignment="1">
      <alignment horizontal="center" vertical="center"/>
    </xf>
    <xf numFmtId="0" fontId="49" fillId="0" borderId="0" xfId="0" applyFont="1" applyBorder="1" applyAlignment="1">
      <alignment horizontal="left" vertical="center"/>
    </xf>
    <xf numFmtId="0" fontId="6" fillId="0" borderId="0" xfId="15" applyFill="1" applyBorder="1" applyAlignment="1">
      <alignment horizontal="left"/>
    </xf>
    <xf numFmtId="3" fontId="39" fillId="28" borderId="514" xfId="1" applyNumberFormat="1" applyFont="1" applyFill="1" applyBorder="1" applyAlignment="1">
      <alignment horizontal="center" vertical="center"/>
    </xf>
    <xf numFmtId="3" fontId="17" fillId="0" borderId="514" xfId="1" applyNumberFormat="1" applyFont="1" applyFill="1" applyBorder="1" applyAlignment="1">
      <alignment horizontal="center" vertical="center"/>
    </xf>
    <xf numFmtId="3" fontId="17" fillId="8" borderId="514" xfId="1" applyNumberFormat="1" applyFont="1" applyFill="1" applyBorder="1" applyAlignment="1">
      <alignment horizontal="center" vertical="center"/>
    </xf>
    <xf numFmtId="3" fontId="38" fillId="28" borderId="514" xfId="1" applyNumberFormat="1" applyFont="1" applyFill="1" applyBorder="1" applyAlignment="1">
      <alignment horizontal="left" vertical="center"/>
    </xf>
    <xf numFmtId="3" fontId="38" fillId="28" borderId="514" xfId="1" applyNumberFormat="1" applyFont="1" applyFill="1" applyBorder="1" applyAlignment="1">
      <alignment horizontal="center" vertical="center"/>
    </xf>
    <xf numFmtId="0" fontId="17" fillId="28" borderId="514" xfId="1" applyFont="1" applyFill="1" applyBorder="1" applyAlignment="1">
      <alignment horizontal="center" vertical="center"/>
    </xf>
    <xf numFmtId="172" fontId="38" fillId="28" borderId="514" xfId="1" applyNumberFormat="1" applyFont="1" applyFill="1" applyBorder="1" applyAlignment="1">
      <alignment horizontal="center" vertical="center"/>
    </xf>
    <xf numFmtId="14" fontId="38" fillId="28" borderId="514" xfId="1" applyNumberFormat="1" applyFont="1" applyFill="1" applyBorder="1" applyAlignment="1">
      <alignment horizontal="center" vertical="center"/>
    </xf>
    <xf numFmtId="2" fontId="38" fillId="29" borderId="518" xfId="1" applyNumberFormat="1" applyFont="1" applyFill="1" applyBorder="1" applyAlignment="1">
      <alignment horizontal="center" vertical="center"/>
    </xf>
    <xf numFmtId="3" fontId="17" fillId="28" borderId="514" xfId="1" applyNumberFormat="1" applyFont="1" applyFill="1" applyBorder="1" applyAlignment="1">
      <alignment horizontal="center" vertical="center"/>
    </xf>
    <xf numFmtId="3" fontId="38" fillId="0" borderId="514" xfId="1" applyNumberFormat="1" applyFont="1" applyFill="1" applyBorder="1" applyAlignment="1">
      <alignment horizontal="center" vertical="center"/>
    </xf>
    <xf numFmtId="3" fontId="38" fillId="8" borderId="514" xfId="1" applyNumberFormat="1" applyFont="1" applyFill="1" applyBorder="1" applyAlignment="1">
      <alignment horizontal="center" vertical="center"/>
    </xf>
    <xf numFmtId="0" fontId="59" fillId="29" borderId="498" xfId="1" applyFont="1" applyFill="1" applyBorder="1" applyAlignment="1">
      <alignment horizontal="center" vertical="center"/>
    </xf>
    <xf numFmtId="0" fontId="104" fillId="35" borderId="77" xfId="15" applyFont="1" applyFill="1" applyBorder="1" applyAlignment="1">
      <alignment horizontal="left" vertical="center"/>
    </xf>
    <xf numFmtId="0" fontId="23" fillId="35" borderId="286" xfId="1" applyFont="1" applyFill="1" applyBorder="1" applyAlignment="1">
      <alignment horizontal="center" vertical="center"/>
    </xf>
    <xf numFmtId="0" fontId="73" fillId="27" borderId="8" xfId="1" applyFont="1" applyFill="1" applyBorder="1" applyAlignment="1">
      <alignment horizontal="left" vertical="center"/>
    </xf>
    <xf numFmtId="0" fontId="104" fillId="42" borderId="0" xfId="15" applyFont="1" applyFill="1" applyBorder="1" applyAlignment="1">
      <alignment horizontal="left" vertical="center"/>
    </xf>
    <xf numFmtId="0" fontId="104" fillId="35" borderId="4" xfId="15" applyFont="1" applyFill="1" applyBorder="1" applyAlignment="1">
      <alignment horizontal="left" vertical="center"/>
    </xf>
    <xf numFmtId="0" fontId="59" fillId="29" borderId="8" xfId="1" applyFont="1" applyFill="1" applyBorder="1" applyAlignment="1">
      <alignment horizontal="center"/>
    </xf>
    <xf numFmtId="0" fontId="59" fillId="29" borderId="0" xfId="1" applyFont="1" applyFill="1" applyBorder="1" applyAlignment="1">
      <alignment horizontal="center"/>
    </xf>
    <xf numFmtId="3" fontId="17" fillId="29" borderId="509" xfId="1" applyNumberFormat="1" applyFont="1" applyFill="1" applyBorder="1" applyAlignment="1">
      <alignment horizontal="center" vertical="center"/>
    </xf>
    <xf numFmtId="3" fontId="17" fillId="35" borderId="258" xfId="1" applyNumberFormat="1" applyFont="1" applyFill="1" applyBorder="1" applyAlignment="1">
      <alignment horizontal="center" vertical="center"/>
    </xf>
    <xf numFmtId="3" fontId="39" fillId="29" borderId="509" xfId="1" applyNumberFormat="1" applyFont="1" applyFill="1" applyBorder="1" applyAlignment="1">
      <alignment horizontal="center" vertical="center"/>
    </xf>
    <xf numFmtId="3" fontId="17" fillId="34" borderId="386" xfId="1" applyNumberFormat="1" applyFont="1" applyFill="1" applyBorder="1" applyAlignment="1">
      <alignment horizontal="center" vertical="center"/>
    </xf>
    <xf numFmtId="3" fontId="17" fillId="8" borderId="325" xfId="1" applyNumberFormat="1" applyFont="1" applyFill="1" applyBorder="1" applyAlignment="1">
      <alignment horizontal="center" vertical="center"/>
    </xf>
    <xf numFmtId="0" fontId="17" fillId="35" borderId="417" xfId="1" applyFont="1" applyFill="1" applyBorder="1" applyAlignment="1">
      <alignment horizontal="center" vertical="center"/>
    </xf>
    <xf numFmtId="2" fontId="38" fillId="35" borderId="462" xfId="1" applyNumberFormat="1" applyFont="1" applyFill="1" applyBorder="1" applyAlignment="1">
      <alignment horizontal="center" vertical="center"/>
    </xf>
    <xf numFmtId="3" fontId="17" fillId="34" borderId="304" xfId="1" applyNumberFormat="1" applyFont="1" applyFill="1" applyBorder="1" applyAlignment="1">
      <alignment horizontal="center" vertical="center"/>
    </xf>
    <xf numFmtId="0" fontId="49" fillId="0" borderId="485" xfId="0" applyFont="1" applyBorder="1"/>
    <xf numFmtId="0" fontId="50" fillId="0" borderId="521" xfId="1" applyFont="1" applyFill="1" applyBorder="1" applyAlignment="1">
      <alignment horizontal="right" vertical="center"/>
    </xf>
    <xf numFmtId="0" fontId="82" fillId="0" borderId="520" xfId="15" applyFont="1" applyFill="1" applyBorder="1" applyAlignment="1">
      <alignment horizontal="center" vertical="center"/>
    </xf>
    <xf numFmtId="0" fontId="50" fillId="0" borderId="319" xfId="1" applyFont="1" applyFill="1" applyBorder="1" applyAlignment="1">
      <alignment horizontal="right" vertical="center"/>
    </xf>
    <xf numFmtId="14" fontId="17" fillId="0" borderId="509" xfId="1" quotePrefix="1" applyNumberFormat="1" applyFont="1" applyFill="1" applyBorder="1" applyAlignment="1">
      <alignment horizontal="center" vertical="center" wrapText="1"/>
    </xf>
    <xf numFmtId="0" fontId="17" fillId="0" borderId="509" xfId="1" applyFont="1" applyFill="1" applyBorder="1" applyAlignment="1">
      <alignment horizontal="center" vertical="center" wrapText="1"/>
    </xf>
    <xf numFmtId="3" fontId="50" fillId="0" borderId="506" xfId="1" applyNumberFormat="1" applyFont="1" applyFill="1" applyBorder="1" applyAlignment="1">
      <alignment horizontal="center" vertical="center"/>
    </xf>
    <xf numFmtId="0" fontId="6" fillId="0" borderId="509" xfId="15" quotePrefix="1" applyFill="1" applyBorder="1" applyAlignment="1">
      <alignment horizontal="center" vertical="center"/>
    </xf>
    <xf numFmtId="3" fontId="58" fillId="0" borderId="512" xfId="1" applyNumberFormat="1" applyFont="1" applyFill="1" applyBorder="1" applyAlignment="1">
      <alignment horizontal="left" vertical="center"/>
    </xf>
    <xf numFmtId="3" fontId="11" fillId="0" borderId="508" xfId="17" applyNumberFormat="1" applyFont="1" applyFill="1" applyBorder="1" applyAlignment="1">
      <alignment horizontal="center" vertical="center"/>
    </xf>
    <xf numFmtId="0" fontId="11" fillId="0" borderId="508" xfId="17" applyFont="1" applyFill="1" applyBorder="1" applyAlignment="1">
      <alignment horizontal="center" vertical="center"/>
    </xf>
    <xf numFmtId="3" fontId="58" fillId="0" borderId="524" xfId="1" applyNumberFormat="1" applyFont="1" applyFill="1" applyBorder="1" applyAlignment="1">
      <alignment horizontal="left" vertical="center"/>
    </xf>
    <xf numFmtId="167" fontId="58" fillId="0" borderId="243" xfId="1" applyNumberFormat="1" applyFont="1" applyBorder="1" applyAlignment="1">
      <alignment horizontal="center" vertical="center"/>
    </xf>
    <xf numFmtId="171" fontId="45" fillId="0" borderId="525" xfId="1" quotePrefix="1" applyNumberFormat="1" applyFont="1" applyBorder="1" applyAlignment="1">
      <alignment horizontal="center" vertical="center"/>
    </xf>
    <xf numFmtId="3" fontId="58" fillId="0" borderId="508" xfId="1" applyNumberFormat="1" applyFont="1" applyFill="1" applyBorder="1" applyAlignment="1">
      <alignment horizontal="center" vertical="center" wrapText="1"/>
    </xf>
    <xf numFmtId="3" fontId="34" fillId="0" borderId="508" xfId="1" applyNumberFormat="1" applyFont="1" applyFill="1" applyBorder="1" applyAlignment="1">
      <alignment horizontal="center" vertical="center"/>
    </xf>
    <xf numFmtId="0" fontId="23" fillId="0" borderId="319" xfId="1" applyFont="1" applyFill="1" applyBorder="1" applyAlignment="1">
      <alignment horizontal="left" vertical="center"/>
    </xf>
    <xf numFmtId="0" fontId="59" fillId="0" borderId="524" xfId="1" applyFont="1" applyFill="1" applyBorder="1" applyAlignment="1">
      <alignment horizontal="center" vertical="center"/>
    </xf>
    <xf numFmtId="3" fontId="45" fillId="0" borderId="527" xfId="1" applyNumberFormat="1" applyFont="1" applyFill="1" applyBorder="1" applyAlignment="1">
      <alignment horizontal="center" vertical="center"/>
    </xf>
    <xf numFmtId="3" fontId="45" fillId="0" borderId="528" xfId="1" applyNumberFormat="1" applyFont="1" applyFill="1" applyBorder="1" applyAlignment="1">
      <alignment horizontal="center" vertical="center"/>
    </xf>
    <xf numFmtId="0" fontId="59" fillId="0" borderId="526" xfId="1" applyFont="1" applyFill="1" applyBorder="1" applyAlignment="1">
      <alignment horizontal="center" vertical="center"/>
    </xf>
    <xf numFmtId="0" fontId="59" fillId="0" borderId="529" xfId="1" applyFont="1" applyFill="1" applyBorder="1" applyAlignment="1">
      <alignment horizontal="center" vertical="center"/>
    </xf>
    <xf numFmtId="0" fontId="46" fillId="0" borderId="529" xfId="1" applyFont="1" applyFill="1" applyBorder="1" applyAlignment="1">
      <alignment horizontal="center"/>
    </xf>
    <xf numFmtId="3" fontId="45" fillId="0" borderId="530" xfId="1" applyNumberFormat="1" applyFont="1" applyFill="1" applyBorder="1" applyAlignment="1">
      <alignment horizontal="center" vertical="center"/>
    </xf>
    <xf numFmtId="0" fontId="82" fillId="0" borderId="529" xfId="15" applyFont="1" applyFill="1" applyBorder="1" applyAlignment="1">
      <alignment horizontal="left" vertical="center"/>
    </xf>
    <xf numFmtId="0" fontId="69" fillId="0" borderId="524" xfId="1" applyFont="1" applyFill="1" applyBorder="1" applyAlignment="1">
      <alignment horizontal="center" vertical="center"/>
    </xf>
    <xf numFmtId="3" fontId="45" fillId="0" borderId="531" xfId="1" applyNumberFormat="1" applyFont="1" applyFill="1" applyBorder="1" applyAlignment="1">
      <alignment horizontal="center" vertical="center"/>
    </xf>
    <xf numFmtId="3" fontId="45" fillId="0" borderId="494" xfId="1" applyNumberFormat="1" applyFont="1" applyFill="1" applyBorder="1" applyAlignment="1">
      <alignment horizontal="center" vertical="center"/>
    </xf>
    <xf numFmtId="0" fontId="59" fillId="0" borderId="532" xfId="1" applyFont="1" applyFill="1" applyBorder="1" applyAlignment="1">
      <alignment horizontal="center" vertical="center"/>
    </xf>
    <xf numFmtId="3" fontId="45" fillId="0" borderId="533" xfId="1" applyNumberFormat="1" applyFont="1" applyFill="1" applyBorder="1" applyAlignment="1">
      <alignment horizontal="center" vertical="center"/>
    </xf>
    <xf numFmtId="0" fontId="82" fillId="0" borderId="534" xfId="15" applyFont="1" applyFill="1" applyBorder="1" applyAlignment="1">
      <alignment horizontal="left" vertical="center"/>
    </xf>
    <xf numFmtId="0" fontId="45" fillId="0" borderId="534" xfId="15" applyFont="1" applyFill="1" applyBorder="1" applyAlignment="1">
      <alignment horizontal="left" vertical="center"/>
    </xf>
    <xf numFmtId="0" fontId="69" fillId="0" borderId="529" xfId="1" applyFont="1" applyFill="1" applyBorder="1" applyAlignment="1">
      <alignment horizontal="center" vertical="center"/>
    </xf>
    <xf numFmtId="0" fontId="45" fillId="0" borderId="534" xfId="1" applyFont="1" applyFill="1" applyBorder="1" applyAlignment="1">
      <alignment horizontal="left" vertical="center"/>
    </xf>
    <xf numFmtId="0" fontId="82" fillId="0" borderId="535" xfId="15" applyFont="1" applyFill="1" applyBorder="1" applyAlignment="1">
      <alignment horizontal="left" vertical="center"/>
    </xf>
    <xf numFmtId="0" fontId="82" fillId="0" borderId="483" xfId="15" applyFont="1" applyFill="1" applyBorder="1" applyAlignment="1">
      <alignment horizontal="left" vertical="center"/>
    </xf>
    <xf numFmtId="0" fontId="82" fillId="0" borderId="526" xfId="15" applyFont="1" applyFill="1" applyBorder="1" applyAlignment="1">
      <alignment horizontal="left" vertical="center"/>
    </xf>
    <xf numFmtId="0" fontId="82" fillId="0" borderId="524" xfId="15" applyFont="1" applyFill="1" applyBorder="1" applyAlignment="1">
      <alignment horizontal="left" vertical="center"/>
    </xf>
    <xf numFmtId="0" fontId="82" fillId="56" borderId="524" xfId="15" applyFont="1" applyFill="1" applyBorder="1" applyAlignment="1">
      <alignment horizontal="left" vertical="center"/>
    </xf>
    <xf numFmtId="0" fontId="59" fillId="0" borderId="469" xfId="1" applyFont="1" applyFill="1" applyBorder="1" applyAlignment="1">
      <alignment horizontal="center" vertical="center"/>
    </xf>
    <xf numFmtId="0" fontId="82" fillId="0" borderId="536" xfId="15" applyFont="1" applyBorder="1" applyAlignment="1">
      <alignment vertical="center"/>
    </xf>
    <xf numFmtId="0" fontId="82" fillId="17" borderId="524" xfId="15" applyFont="1" applyFill="1" applyBorder="1" applyAlignment="1">
      <alignment horizontal="left" vertical="center"/>
    </xf>
    <xf numFmtId="3" fontId="17" fillId="4" borderId="257" xfId="1" applyNumberFormat="1" applyFont="1" applyFill="1" applyBorder="1" applyAlignment="1">
      <alignment horizontal="center" vertical="center"/>
    </xf>
    <xf numFmtId="3" fontId="17" fillId="4" borderId="26" xfId="1" applyNumberFormat="1" applyFont="1" applyFill="1" applyBorder="1" applyAlignment="1">
      <alignment horizontal="center" vertical="center"/>
    </xf>
    <xf numFmtId="3" fontId="106" fillId="0" borderId="245" xfId="1" applyNumberFormat="1" applyFont="1" applyFill="1" applyBorder="1" applyAlignment="1">
      <alignment horizontal="center" vertical="center"/>
    </xf>
    <xf numFmtId="3" fontId="38" fillId="0" borderId="230" xfId="1" applyNumberFormat="1" applyFont="1" applyFill="1" applyBorder="1" applyAlignment="1">
      <alignment horizontal="center" vertical="center"/>
    </xf>
    <xf numFmtId="3" fontId="63" fillId="0" borderId="0" xfId="0" applyNumberFormat="1" applyFont="1" applyAlignment="1">
      <alignment horizontal="center"/>
    </xf>
    <xf numFmtId="0" fontId="111" fillId="0" borderId="0" xfId="15" applyFont="1" applyAlignment="1">
      <alignment horizontal="center"/>
    </xf>
    <xf numFmtId="0" fontId="49" fillId="0" borderId="0" xfId="0" applyFont="1" applyAlignment="1">
      <alignment horizontal="center"/>
    </xf>
    <xf numFmtId="0" fontId="49" fillId="0" borderId="0" xfId="0" applyFont="1" applyAlignment="1">
      <alignment horizontal="center"/>
    </xf>
    <xf numFmtId="0" fontId="148" fillId="0" borderId="0" xfId="15" applyFont="1" applyAlignment="1" applyProtection="1">
      <alignment horizontal="center" vertical="center"/>
    </xf>
    <xf numFmtId="0" fontId="74" fillId="0" borderId="0" xfId="15" applyFont="1" applyAlignment="1" applyProtection="1">
      <alignment horizontal="center" vertical="center"/>
    </xf>
    <xf numFmtId="0" fontId="111" fillId="3" borderId="0" xfId="15" applyFont="1" applyFill="1" applyAlignment="1">
      <alignment horizontal="center"/>
    </xf>
    <xf numFmtId="0" fontId="62" fillId="0" borderId="0" xfId="15" applyFont="1" applyFill="1" applyAlignment="1" applyProtection="1">
      <alignment horizontal="center" vertical="center"/>
    </xf>
    <xf numFmtId="0" fontId="70" fillId="0" borderId="0" xfId="1" applyFont="1" applyFill="1" applyBorder="1" applyAlignment="1">
      <alignment horizontal="center" vertical="center"/>
    </xf>
    <xf numFmtId="0" fontId="33" fillId="0" borderId="49" xfId="1" applyFont="1" applyFill="1" applyBorder="1" applyAlignment="1">
      <alignment horizontal="center" vertical="center" wrapText="1"/>
    </xf>
    <xf numFmtId="0" fontId="82" fillId="0" borderId="0" xfId="15" applyFont="1" applyBorder="1" applyAlignment="1">
      <alignment vertical="center"/>
    </xf>
    <xf numFmtId="0" fontId="82" fillId="0" borderId="537" xfId="15" applyFont="1" applyBorder="1" applyAlignment="1">
      <alignment vertical="center"/>
    </xf>
    <xf numFmtId="0" fontId="59" fillId="0" borderId="537" xfId="1" applyFont="1" applyFill="1" applyBorder="1" applyAlignment="1">
      <alignment horizontal="center" vertical="center"/>
    </xf>
    <xf numFmtId="169" fontId="26" fillId="0" borderId="537" xfId="1" applyNumberFormat="1" applyFont="1" applyFill="1" applyBorder="1" applyAlignment="1">
      <alignment horizontal="right" vertical="center"/>
    </xf>
    <xf numFmtId="3" fontId="46" fillId="0" borderId="537" xfId="1" applyNumberFormat="1" applyFont="1" applyFill="1" applyBorder="1" applyAlignment="1">
      <alignment horizontal="center" vertical="center"/>
    </xf>
    <xf numFmtId="0" fontId="63" fillId="0" borderId="538" xfId="1" applyFont="1" applyFill="1" applyBorder="1" applyAlignment="1">
      <alignment vertical="center"/>
    </xf>
    <xf numFmtId="0" fontId="82" fillId="0" borderId="539" xfId="15" applyFont="1" applyFill="1" applyBorder="1" applyAlignment="1">
      <alignment horizontal="left" vertical="center"/>
    </xf>
    <xf numFmtId="0" fontId="82" fillId="0" borderId="202" xfId="15" applyFont="1" applyFill="1" applyBorder="1" applyAlignment="1">
      <alignment vertical="center"/>
    </xf>
    <xf numFmtId="0" fontId="69" fillId="0" borderId="479" xfId="1" applyFont="1" applyFill="1" applyBorder="1" applyAlignment="1">
      <alignment horizontal="left" vertical="center"/>
    </xf>
    <xf numFmtId="0" fontId="48" fillId="0" borderId="217" xfId="1" applyFont="1" applyFill="1" applyBorder="1" applyAlignment="1">
      <alignment vertical="center"/>
    </xf>
    <xf numFmtId="0" fontId="64" fillId="0" borderId="199" xfId="0" applyFont="1" applyBorder="1" applyAlignment="1">
      <alignment vertical="center"/>
    </xf>
    <xf numFmtId="0" fontId="49" fillId="0" borderId="0" xfId="0" applyFont="1" applyAlignment="1">
      <alignment vertical="center"/>
    </xf>
    <xf numFmtId="0" fontId="63" fillId="0" borderId="0" xfId="1" applyFont="1" applyAlignment="1">
      <alignment vertical="center"/>
    </xf>
    <xf numFmtId="0" fontId="64" fillId="0" borderId="464" xfId="0" applyFont="1" applyFill="1" applyBorder="1" applyAlignment="1">
      <alignment vertical="center"/>
    </xf>
    <xf numFmtId="0" fontId="64" fillId="0" borderId="404" xfId="0" applyFont="1" applyFill="1" applyBorder="1" applyAlignment="1">
      <alignment vertical="center"/>
    </xf>
    <xf numFmtId="0" fontId="64" fillId="0" borderId="59" xfId="0" applyFont="1" applyFill="1" applyBorder="1" applyAlignment="1">
      <alignment vertical="center"/>
    </xf>
    <xf numFmtId="0" fontId="64" fillId="0" borderId="5" xfId="0" applyFont="1" applyBorder="1" applyAlignment="1">
      <alignment vertical="center"/>
    </xf>
    <xf numFmtId="0" fontId="64" fillId="0" borderId="199" xfId="0" applyFont="1" applyFill="1" applyBorder="1" applyAlignment="1">
      <alignment vertical="center"/>
    </xf>
    <xf numFmtId="0" fontId="64" fillId="0" borderId="406" xfId="0" applyFont="1" applyFill="1" applyBorder="1" applyAlignment="1">
      <alignment vertical="center"/>
    </xf>
    <xf numFmtId="0" fontId="82" fillId="0" borderId="406" xfId="15" applyFont="1" applyFill="1" applyBorder="1" applyAlignment="1">
      <alignment vertical="center"/>
    </xf>
    <xf numFmtId="0" fontId="45" fillId="0" borderId="201" xfId="15" applyFont="1" applyFill="1" applyBorder="1" applyAlignment="1">
      <alignment vertical="center"/>
    </xf>
    <xf numFmtId="0" fontId="45" fillId="0" borderId="118" xfId="15" applyFont="1" applyFill="1" applyBorder="1" applyAlignment="1">
      <alignment vertical="center"/>
    </xf>
    <xf numFmtId="0" fontId="64" fillId="0" borderId="236" xfId="0" applyFont="1" applyFill="1" applyBorder="1" applyAlignment="1">
      <alignment vertical="center"/>
    </xf>
    <xf numFmtId="0" fontId="64" fillId="0" borderId="149" xfId="0" applyFont="1" applyFill="1" applyBorder="1" applyAlignment="1">
      <alignment vertical="center"/>
    </xf>
    <xf numFmtId="0" fontId="64" fillId="0" borderId="163" xfId="0" applyFont="1" applyFill="1" applyBorder="1" applyAlignment="1">
      <alignment vertical="center"/>
    </xf>
    <xf numFmtId="0" fontId="64" fillId="0" borderId="0" xfId="0" applyFont="1" applyFill="1" applyBorder="1" applyAlignment="1">
      <alignment vertical="center"/>
    </xf>
    <xf numFmtId="0" fontId="64" fillId="0" borderId="149" xfId="0" applyFont="1" applyBorder="1" applyAlignment="1">
      <alignment vertical="center"/>
    </xf>
    <xf numFmtId="0" fontId="64" fillId="0" borderId="202" xfId="0" applyFont="1" applyFill="1" applyBorder="1" applyAlignment="1">
      <alignment vertical="center"/>
    </xf>
    <xf numFmtId="0" fontId="64" fillId="0" borderId="81" xfId="0" applyFont="1" applyBorder="1" applyAlignment="1">
      <alignment vertical="center"/>
    </xf>
    <xf numFmtId="0" fontId="64" fillId="0" borderId="218" xfId="0" applyFont="1" applyBorder="1" applyAlignment="1">
      <alignment vertical="center"/>
    </xf>
    <xf numFmtId="0" fontId="64" fillId="0" borderId="465" xfId="0" applyFont="1" applyBorder="1" applyAlignment="1">
      <alignment vertical="center"/>
    </xf>
    <xf numFmtId="0" fontId="64" fillId="0" borderId="202" xfId="0" applyFont="1" applyBorder="1" applyAlignment="1">
      <alignment vertical="center"/>
    </xf>
    <xf numFmtId="0" fontId="64" fillId="0" borderId="0" xfId="0" applyFont="1" applyBorder="1" applyAlignment="1">
      <alignment vertical="center"/>
    </xf>
    <xf numFmtId="0" fontId="64" fillId="0" borderId="5" xfId="0" applyFont="1" applyFill="1" applyBorder="1" applyAlignment="1">
      <alignment vertical="center"/>
    </xf>
    <xf numFmtId="0" fontId="64" fillId="0" borderId="118" xfId="0" applyFont="1" applyFill="1" applyBorder="1" applyAlignment="1">
      <alignment vertical="center"/>
    </xf>
    <xf numFmtId="0" fontId="64" fillId="0" borderId="213" xfId="0" applyFont="1" applyBorder="1" applyAlignment="1">
      <alignment vertical="center"/>
    </xf>
    <xf numFmtId="0" fontId="64" fillId="0" borderId="436" xfId="0" applyFont="1" applyBorder="1" applyAlignment="1">
      <alignment vertical="center"/>
    </xf>
    <xf numFmtId="0" fontId="64" fillId="0" borderId="383" xfId="0" applyFont="1" applyFill="1" applyBorder="1" applyAlignment="1">
      <alignment vertical="center"/>
    </xf>
    <xf numFmtId="0" fontId="64" fillId="0" borderId="213" xfId="0" applyFont="1" applyFill="1" applyBorder="1" applyAlignment="1">
      <alignment vertical="center"/>
    </xf>
    <xf numFmtId="0" fontId="82" fillId="0" borderId="218" xfId="15" applyFont="1" applyFill="1" applyBorder="1" applyAlignment="1">
      <alignment vertical="center"/>
    </xf>
    <xf numFmtId="0" fontId="82" fillId="0" borderId="201" xfId="15" applyFont="1" applyFill="1" applyBorder="1" applyAlignment="1">
      <alignment vertical="center"/>
    </xf>
    <xf numFmtId="0" fontId="82" fillId="0" borderId="81" xfId="15" applyFont="1" applyFill="1" applyBorder="1" applyAlignment="1">
      <alignment vertical="center"/>
    </xf>
    <xf numFmtId="0" fontId="64" fillId="0" borderId="404" xfId="0" applyFont="1" applyBorder="1" applyAlignment="1">
      <alignment vertical="center"/>
    </xf>
    <xf numFmtId="0" fontId="45" fillId="0" borderId="0" xfId="0" applyFont="1" applyFill="1" applyBorder="1" applyAlignment="1">
      <alignment vertical="center"/>
    </xf>
    <xf numFmtId="0" fontId="64" fillId="0" borderId="383" xfId="0" applyFont="1" applyBorder="1" applyAlignment="1">
      <alignment vertical="center"/>
    </xf>
    <xf numFmtId="0" fontId="76" fillId="0" borderId="0" xfId="1" applyFont="1" applyFill="1" applyBorder="1" applyAlignment="1">
      <alignment vertical="center"/>
    </xf>
    <xf numFmtId="0" fontId="63" fillId="0" borderId="409" xfId="1" applyFont="1" applyFill="1" applyBorder="1" applyAlignment="1">
      <alignment vertical="center"/>
    </xf>
    <xf numFmtId="0" fontId="45" fillId="0" borderId="0" xfId="1" applyFont="1" applyAlignment="1">
      <alignment vertical="center"/>
    </xf>
    <xf numFmtId="0" fontId="82" fillId="0" borderId="197" xfId="15" applyFont="1" applyFill="1" applyBorder="1" applyAlignment="1">
      <alignment vertical="center"/>
    </xf>
    <xf numFmtId="0" fontId="48" fillId="0" borderId="6" xfId="1" applyFont="1" applyFill="1" applyBorder="1" applyAlignment="1">
      <alignment vertical="center"/>
    </xf>
    <xf numFmtId="0" fontId="82" fillId="0" borderId="540" xfId="15" applyFont="1" applyFill="1" applyBorder="1" applyAlignment="1">
      <alignment horizontal="left" vertical="center"/>
    </xf>
    <xf numFmtId="0" fontId="45" fillId="0" borderId="214" xfId="1" applyFont="1" applyFill="1" applyBorder="1" applyAlignment="1">
      <alignment vertical="center"/>
    </xf>
    <xf numFmtId="0" fontId="59" fillId="25" borderId="8" xfId="1" applyFont="1" applyFill="1" applyBorder="1" applyAlignment="1">
      <alignment horizontal="center"/>
    </xf>
    <xf numFmtId="3" fontId="17" fillId="41" borderId="325" xfId="1" applyNumberFormat="1" applyFont="1" applyFill="1" applyBorder="1" applyAlignment="1">
      <alignment horizontal="center" vertical="center"/>
    </xf>
    <xf numFmtId="0" fontId="49" fillId="0" borderId="0" xfId="0" applyFont="1" applyAlignment="1">
      <alignment horizontal="center"/>
    </xf>
    <xf numFmtId="0" fontId="82" fillId="17" borderId="52" xfId="15" applyFont="1" applyFill="1" applyBorder="1" applyAlignment="1">
      <alignment horizontal="left" vertical="center"/>
    </xf>
    <xf numFmtId="0" fontId="82" fillId="17" borderId="465" xfId="15" applyFont="1" applyFill="1" applyBorder="1" applyAlignment="1">
      <alignment horizontal="left" vertical="center"/>
    </xf>
    <xf numFmtId="0" fontId="82" fillId="17" borderId="118" xfId="15" applyFont="1" applyFill="1" applyBorder="1" applyAlignment="1">
      <alignment vertical="center"/>
    </xf>
    <xf numFmtId="0" fontId="104" fillId="17" borderId="210" xfId="15" applyFont="1" applyFill="1" applyBorder="1" applyAlignment="1">
      <alignment horizontal="left" vertical="center"/>
    </xf>
    <xf numFmtId="0" fontId="83" fillId="17" borderId="118" xfId="15" applyFont="1" applyFill="1" applyBorder="1" applyAlignment="1">
      <alignment horizontal="left" vertical="center"/>
    </xf>
    <xf numFmtId="0" fontId="82" fillId="17" borderId="59" xfId="15" applyFont="1" applyFill="1" applyBorder="1" applyAlignment="1">
      <alignment horizontal="left" vertical="center"/>
    </xf>
    <xf numFmtId="0" fontId="82" fillId="17" borderId="210" xfId="15" applyFont="1" applyFill="1" applyBorder="1" applyAlignment="1">
      <alignment horizontal="left" vertical="center"/>
    </xf>
    <xf numFmtId="0" fontId="82" fillId="56" borderId="118" xfId="15" applyFont="1" applyFill="1" applyBorder="1" applyAlignment="1">
      <alignment horizontal="left" vertical="center"/>
    </xf>
    <xf numFmtId="0" fontId="82" fillId="17" borderId="90" xfId="15" applyFont="1" applyFill="1" applyBorder="1" applyAlignment="1">
      <alignment horizontal="left" vertical="center"/>
    </xf>
    <xf numFmtId="0" fontId="104" fillId="17" borderId="118" xfId="15" applyFont="1" applyFill="1" applyBorder="1" applyAlignment="1">
      <alignment horizontal="left" vertical="center"/>
    </xf>
    <xf numFmtId="0" fontId="82" fillId="17" borderId="5" xfId="15" applyFont="1" applyFill="1" applyBorder="1" applyAlignment="1">
      <alignment horizontal="left" vertical="center"/>
    </xf>
    <xf numFmtId="0" fontId="82" fillId="17" borderId="414" xfId="15" applyFont="1" applyFill="1" applyBorder="1" applyAlignment="1">
      <alignment horizontal="left" vertical="center"/>
    </xf>
    <xf numFmtId="0" fontId="82" fillId="17" borderId="163" xfId="15" applyFont="1" applyFill="1" applyBorder="1" applyAlignment="1">
      <alignment horizontal="left" vertical="center"/>
    </xf>
    <xf numFmtId="0" fontId="133" fillId="17" borderId="414" xfId="15" applyFont="1" applyFill="1" applyBorder="1" applyAlignment="1">
      <alignment horizontal="left" vertical="center"/>
    </xf>
    <xf numFmtId="0" fontId="83" fillId="17" borderId="163" xfId="15" applyFont="1" applyFill="1" applyBorder="1" applyAlignment="1">
      <alignment horizontal="left" vertical="center"/>
    </xf>
    <xf numFmtId="0" fontId="82" fillId="17" borderId="238" xfId="15" applyFont="1" applyFill="1" applyBorder="1" applyAlignment="1">
      <alignment horizontal="left" vertical="center"/>
    </xf>
    <xf numFmtId="0" fontId="23" fillId="34" borderId="416" xfId="1" applyFont="1" applyFill="1" applyBorder="1" applyAlignment="1">
      <alignment horizontal="center" vertical="center"/>
    </xf>
    <xf numFmtId="0" fontId="109" fillId="34" borderId="380" xfId="15" applyFont="1" applyFill="1" applyBorder="1" applyAlignment="1">
      <alignment horizontal="left" vertical="center"/>
    </xf>
    <xf numFmtId="0" fontId="117" fillId="25" borderId="8" xfId="1" applyFont="1" applyFill="1" applyBorder="1" applyAlignment="1">
      <alignment horizontal="center"/>
    </xf>
    <xf numFmtId="3" fontId="39" fillId="34" borderId="417" xfId="1" applyNumberFormat="1" applyFont="1" applyFill="1" applyBorder="1" applyAlignment="1">
      <alignment horizontal="center" vertical="center"/>
    </xf>
    <xf numFmtId="3" fontId="38" fillId="34" borderId="417" xfId="1" applyNumberFormat="1" applyFont="1" applyFill="1" applyBorder="1" applyAlignment="1">
      <alignment horizontal="left" vertical="center"/>
    </xf>
    <xf numFmtId="3" fontId="38" fillId="29" borderId="491" xfId="1" applyNumberFormat="1" applyFont="1" applyFill="1" applyBorder="1" applyAlignment="1">
      <alignment horizontal="center" vertical="center"/>
    </xf>
    <xf numFmtId="3" fontId="38" fillId="34" borderId="417" xfId="1" applyNumberFormat="1" applyFont="1" applyFill="1" applyBorder="1" applyAlignment="1">
      <alignment horizontal="center" vertical="center"/>
    </xf>
    <xf numFmtId="0" fontId="17" fillId="34" borderId="417" xfId="1" applyFont="1" applyFill="1" applyBorder="1" applyAlignment="1">
      <alignment horizontal="center" vertical="center"/>
    </xf>
    <xf numFmtId="172" fontId="38" fillId="34" borderId="417" xfId="1" applyNumberFormat="1" applyFont="1" applyFill="1" applyBorder="1" applyAlignment="1">
      <alignment horizontal="center" vertical="center"/>
    </xf>
    <xf numFmtId="14" fontId="38" fillId="34" borderId="417" xfId="1" applyNumberFormat="1" applyFont="1" applyFill="1" applyBorder="1" applyAlignment="1">
      <alignment horizontal="center" vertical="center"/>
    </xf>
    <xf numFmtId="2" fontId="38" fillId="24" borderId="387" xfId="1" applyNumberFormat="1" applyFont="1" applyFill="1" applyBorder="1" applyAlignment="1">
      <alignment horizontal="center" vertical="center"/>
    </xf>
    <xf numFmtId="3" fontId="17" fillId="0" borderId="176" xfId="1" applyNumberFormat="1" applyFont="1" applyFill="1" applyBorder="1" applyAlignment="1">
      <alignment horizontal="center" vertical="center"/>
    </xf>
    <xf numFmtId="3" fontId="74" fillId="7" borderId="509" xfId="1" applyNumberFormat="1" applyFont="1" applyFill="1" applyBorder="1" applyAlignment="1">
      <alignment horizontal="center" vertical="center"/>
    </xf>
    <xf numFmtId="0" fontId="104" fillId="4" borderId="386" xfId="15" applyFont="1" applyFill="1" applyBorder="1" applyAlignment="1">
      <alignment horizontal="left" vertical="center"/>
    </xf>
    <xf numFmtId="0" fontId="74" fillId="0" borderId="0" xfId="1" applyFont="1" applyFill="1" applyBorder="1" applyAlignment="1">
      <alignment horizontal="center" vertical="center"/>
    </xf>
    <xf numFmtId="0" fontId="53" fillId="0" borderId="522" xfId="1" applyFont="1" applyFill="1" applyBorder="1" applyAlignment="1">
      <alignment horizontal="right" vertical="center"/>
    </xf>
    <xf numFmtId="0" fontId="74" fillId="0" borderId="483" xfId="1" applyFont="1" applyFill="1" applyBorder="1" applyAlignment="1">
      <alignment horizontal="right" vertical="center"/>
    </xf>
    <xf numFmtId="49" fontId="63" fillId="10" borderId="491" xfId="1" quotePrefix="1" applyNumberFormat="1" applyFont="1" applyFill="1" applyBorder="1" applyAlignment="1">
      <alignment horizontal="center" vertical="center"/>
    </xf>
    <xf numFmtId="0" fontId="45" fillId="11" borderId="498" xfId="1" applyFont="1" applyFill="1" applyBorder="1" applyAlignment="1">
      <alignment horizontal="center" vertical="center"/>
    </xf>
    <xf numFmtId="3" fontId="17" fillId="12" borderId="18" xfId="1" applyNumberFormat="1" applyFont="1" applyFill="1" applyBorder="1" applyAlignment="1">
      <alignment horizontal="center" vertical="center"/>
    </xf>
    <xf numFmtId="2" fontId="38" fillId="24" borderId="488" xfId="1" applyNumberFormat="1" applyFont="1" applyFill="1" applyBorder="1" applyAlignment="1">
      <alignment horizontal="center" vertical="center"/>
    </xf>
    <xf numFmtId="0" fontId="23" fillId="37" borderId="17" xfId="1" applyFont="1" applyFill="1" applyBorder="1" applyAlignment="1">
      <alignment horizontal="center" vertical="center"/>
    </xf>
    <xf numFmtId="0" fontId="73" fillId="34" borderId="8" xfId="1" applyFont="1" applyFill="1" applyBorder="1" applyAlignment="1">
      <alignment horizontal="left" vertical="center"/>
    </xf>
    <xf numFmtId="3" fontId="39" fillId="30" borderId="509" xfId="1" applyNumberFormat="1" applyFont="1" applyFill="1" applyBorder="1" applyAlignment="1">
      <alignment horizontal="center" vertical="center"/>
    </xf>
    <xf numFmtId="3" fontId="38" fillId="0" borderId="346" xfId="1" applyNumberFormat="1" applyFont="1" applyFill="1" applyBorder="1" applyAlignment="1">
      <alignment horizontal="center" vertical="center"/>
    </xf>
    <xf numFmtId="3" fontId="38" fillId="0" borderId="347" xfId="1" applyNumberFormat="1" applyFont="1" applyFill="1" applyBorder="1" applyAlignment="1">
      <alignment horizontal="center" vertical="center"/>
    </xf>
    <xf numFmtId="3" fontId="38" fillId="29" borderId="426" xfId="1" applyNumberFormat="1" applyFont="1" applyFill="1" applyBorder="1" applyAlignment="1">
      <alignment horizontal="left" vertical="center"/>
    </xf>
    <xf numFmtId="3" fontId="38" fillId="34" borderId="459" xfId="1" applyNumberFormat="1" applyFont="1" applyFill="1" applyBorder="1" applyAlignment="1">
      <alignment horizontal="left" vertical="center"/>
    </xf>
    <xf numFmtId="3" fontId="38" fillId="30" borderId="509" xfId="1" applyNumberFormat="1" applyFont="1" applyFill="1" applyBorder="1" applyAlignment="1">
      <alignment horizontal="left" vertical="center"/>
    </xf>
    <xf numFmtId="3" fontId="38" fillId="34" borderId="459" xfId="1" applyNumberFormat="1" applyFont="1" applyFill="1" applyBorder="1" applyAlignment="1">
      <alignment horizontal="center" vertical="center"/>
    </xf>
    <xf numFmtId="3" fontId="38" fillId="30" borderId="509" xfId="1" applyNumberFormat="1" applyFont="1" applyFill="1" applyBorder="1" applyAlignment="1">
      <alignment horizontal="center" vertical="center"/>
    </xf>
    <xf numFmtId="0" fontId="17" fillId="29" borderId="426" xfId="1" applyFont="1" applyFill="1" applyBorder="1" applyAlignment="1">
      <alignment horizontal="center" vertical="center"/>
    </xf>
    <xf numFmtId="0" fontId="17" fillId="34" borderId="459" xfId="1" applyFont="1" applyFill="1" applyBorder="1" applyAlignment="1">
      <alignment horizontal="center" vertical="center"/>
    </xf>
    <xf numFmtId="0" fontId="17" fillId="30" borderId="509" xfId="1" applyFont="1" applyFill="1" applyBorder="1" applyAlignment="1">
      <alignment horizontal="center" vertical="center"/>
    </xf>
    <xf numFmtId="172" fontId="38" fillId="29" borderId="426" xfId="1" applyNumberFormat="1" applyFont="1" applyFill="1" applyBorder="1" applyAlignment="1">
      <alignment horizontal="center" vertical="center"/>
    </xf>
    <xf numFmtId="172" fontId="38" fillId="34" borderId="459" xfId="1" applyNumberFormat="1" applyFont="1" applyFill="1" applyBorder="1" applyAlignment="1">
      <alignment horizontal="center" vertical="center"/>
    </xf>
    <xf numFmtId="172" fontId="38" fillId="34" borderId="55" xfId="1" applyNumberFormat="1" applyFont="1" applyFill="1" applyBorder="1" applyAlignment="1">
      <alignment horizontal="center" vertical="center"/>
    </xf>
    <xf numFmtId="172" fontId="38" fillId="30" borderId="509" xfId="1" applyNumberFormat="1" applyFont="1" applyFill="1" applyBorder="1" applyAlignment="1">
      <alignment horizontal="center" vertical="center"/>
    </xf>
    <xf numFmtId="14" fontId="38" fillId="29" borderId="426" xfId="1" applyNumberFormat="1" applyFont="1" applyFill="1" applyBorder="1" applyAlignment="1">
      <alignment horizontal="center" vertical="center"/>
    </xf>
    <xf numFmtId="14" fontId="38" fillId="34" borderId="459" xfId="1" applyNumberFormat="1" applyFont="1" applyFill="1" applyBorder="1" applyAlignment="1">
      <alignment horizontal="center" vertical="center"/>
    </xf>
    <xf numFmtId="14" fontId="38" fillId="30" borderId="509" xfId="1" applyNumberFormat="1" applyFont="1" applyFill="1" applyBorder="1" applyAlignment="1">
      <alignment horizontal="center" vertical="center"/>
    </xf>
    <xf numFmtId="2" fontId="38" fillId="35" borderId="488" xfId="1" applyNumberFormat="1" applyFont="1" applyFill="1" applyBorder="1" applyAlignment="1">
      <alignment horizontal="center" vertical="center"/>
    </xf>
    <xf numFmtId="3" fontId="149" fillId="0" borderId="0" xfId="15" applyNumberFormat="1" applyFont="1" applyFill="1" applyBorder="1" applyAlignment="1">
      <alignment horizontal="center" vertical="center"/>
    </xf>
    <xf numFmtId="0" fontId="23" fillId="29" borderId="32" xfId="1" applyFont="1" applyFill="1" applyBorder="1" applyAlignment="1">
      <alignment horizontal="center" vertical="center"/>
    </xf>
    <xf numFmtId="0" fontId="117" fillId="34" borderId="499" xfId="1" applyFont="1" applyFill="1" applyBorder="1" applyAlignment="1">
      <alignment horizontal="center"/>
    </xf>
    <xf numFmtId="3" fontId="39" fillId="35" borderId="386" xfId="1" applyNumberFormat="1" applyFont="1" applyFill="1" applyBorder="1" applyAlignment="1">
      <alignment horizontal="center" vertical="center"/>
    </xf>
    <xf numFmtId="3" fontId="38" fillId="34" borderId="304" xfId="1" applyNumberFormat="1" applyFont="1" applyFill="1" applyBorder="1" applyAlignment="1">
      <alignment horizontal="center" vertical="center"/>
    </xf>
    <xf numFmtId="3" fontId="17" fillId="4" borderId="333" xfId="1" applyNumberFormat="1" applyFont="1" applyFill="1" applyBorder="1" applyAlignment="1">
      <alignment horizontal="center" vertical="center"/>
    </xf>
    <xf numFmtId="3" fontId="39" fillId="35" borderId="367" xfId="1" applyNumberFormat="1" applyFont="1" applyFill="1" applyBorder="1" applyAlignment="1">
      <alignment horizontal="center" vertical="center"/>
    </xf>
    <xf numFmtId="3" fontId="17" fillId="24" borderId="368" xfId="1" applyNumberFormat="1" applyFont="1" applyFill="1" applyBorder="1" applyAlignment="1">
      <alignment horizontal="center" vertical="center"/>
    </xf>
    <xf numFmtId="3" fontId="38" fillId="24" borderId="367" xfId="1" applyNumberFormat="1" applyFont="1" applyFill="1" applyBorder="1" applyAlignment="1">
      <alignment horizontal="left" vertical="center"/>
    </xf>
    <xf numFmtId="3" fontId="38" fillId="24" borderId="367" xfId="1" applyNumberFormat="1" applyFont="1" applyFill="1" applyBorder="1" applyAlignment="1">
      <alignment horizontal="center" vertical="center"/>
    </xf>
    <xf numFmtId="0" fontId="17" fillId="24" borderId="367" xfId="1" applyFont="1" applyFill="1" applyBorder="1" applyAlignment="1">
      <alignment horizontal="center" vertical="center"/>
    </xf>
    <xf numFmtId="172" fontId="38" fillId="24" borderId="357" xfId="1" applyNumberFormat="1" applyFont="1" applyFill="1" applyBorder="1" applyAlignment="1">
      <alignment horizontal="center" vertical="center"/>
    </xf>
    <xf numFmtId="14" fontId="38" fillId="24" borderId="367" xfId="1" applyNumberFormat="1" applyFont="1" applyFill="1" applyBorder="1" applyAlignment="1">
      <alignment horizontal="center" vertical="center"/>
    </xf>
    <xf numFmtId="0" fontId="43" fillId="25" borderId="28" xfId="1" applyFont="1" applyFill="1" applyBorder="1" applyAlignment="1">
      <alignment horizontal="center" vertical="center"/>
    </xf>
    <xf numFmtId="0" fontId="109" fillId="24" borderId="0" xfId="15" applyFont="1" applyFill="1" applyBorder="1" applyAlignment="1">
      <alignment horizontal="left" vertical="center"/>
    </xf>
    <xf numFmtId="0" fontId="73" fillId="26" borderId="4" xfId="1" applyFont="1" applyFill="1" applyBorder="1" applyAlignment="1">
      <alignment horizontal="left" vertical="center"/>
    </xf>
    <xf numFmtId="0" fontId="112" fillId="24" borderId="4" xfId="15" applyFont="1" applyFill="1" applyBorder="1" applyAlignment="1">
      <alignment horizontal="left" vertical="center"/>
    </xf>
    <xf numFmtId="3" fontId="39" fillId="26" borderId="331" xfId="1" applyNumberFormat="1" applyFont="1" applyFill="1" applyBorder="1" applyAlignment="1">
      <alignment horizontal="center" vertical="center"/>
    </xf>
    <xf numFmtId="3" fontId="38" fillId="26" borderId="331" xfId="1" applyNumberFormat="1" applyFont="1" applyFill="1" applyBorder="1" applyAlignment="1">
      <alignment horizontal="left" vertical="center"/>
    </xf>
    <xf numFmtId="3" fontId="38" fillId="26" borderId="331" xfId="1" applyNumberFormat="1" applyFont="1" applyFill="1" applyBorder="1" applyAlignment="1">
      <alignment horizontal="center" vertical="center"/>
    </xf>
    <xf numFmtId="0" fontId="17" fillId="26" borderId="331" xfId="1" applyFont="1" applyFill="1" applyBorder="1" applyAlignment="1">
      <alignment horizontal="center" vertical="center"/>
    </xf>
    <xf numFmtId="172" fontId="38" fillId="26" borderId="331" xfId="1" applyNumberFormat="1" applyFont="1" applyFill="1" applyBorder="1" applyAlignment="1">
      <alignment horizontal="center" vertical="center"/>
    </xf>
    <xf numFmtId="14" fontId="38" fillId="26" borderId="331" xfId="1" applyNumberFormat="1" applyFont="1" applyFill="1" applyBorder="1" applyAlignment="1">
      <alignment horizontal="center" vertical="center"/>
    </xf>
    <xf numFmtId="3" fontId="38" fillId="0" borderId="176" xfId="1" applyNumberFormat="1" applyFont="1" applyFill="1" applyBorder="1" applyAlignment="1">
      <alignment horizontal="center" vertical="center"/>
    </xf>
    <xf numFmtId="3" fontId="38" fillId="24" borderId="428" xfId="1" applyNumberFormat="1" applyFont="1" applyFill="1" applyBorder="1" applyAlignment="1">
      <alignment horizontal="left" vertical="center"/>
    </xf>
    <xf numFmtId="2" fontId="38" fillId="24" borderId="394" xfId="1" applyNumberFormat="1" applyFont="1" applyFill="1" applyBorder="1" applyAlignment="1">
      <alignment horizontal="center" vertical="center"/>
    </xf>
    <xf numFmtId="0" fontId="23" fillId="5" borderId="0" xfId="1" applyFont="1" applyFill="1" applyBorder="1" applyAlignment="1">
      <alignment horizontal="center" vertical="center"/>
    </xf>
    <xf numFmtId="3" fontId="39" fillId="24" borderId="368" xfId="1" applyNumberFormat="1" applyFont="1" applyFill="1" applyBorder="1" applyAlignment="1">
      <alignment horizontal="center" vertical="center"/>
    </xf>
    <xf numFmtId="3" fontId="17" fillId="24" borderId="367" xfId="1" applyNumberFormat="1" applyFont="1" applyFill="1" applyBorder="1" applyAlignment="1">
      <alignment horizontal="center" vertical="center"/>
    </xf>
    <xf numFmtId="3" fontId="17" fillId="0" borderId="348" xfId="1" applyNumberFormat="1" applyFont="1" applyFill="1" applyBorder="1" applyAlignment="1">
      <alignment horizontal="center" vertical="center"/>
    </xf>
    <xf numFmtId="3" fontId="38" fillId="4" borderId="332" xfId="1" applyNumberFormat="1" applyFont="1" applyFill="1" applyBorder="1" applyAlignment="1">
      <alignment horizontal="left" vertical="center"/>
    </xf>
    <xf numFmtId="3" fontId="38" fillId="4" borderId="278" xfId="1" applyNumberFormat="1" applyFont="1" applyFill="1" applyBorder="1" applyAlignment="1">
      <alignment horizontal="left" vertical="center"/>
    </xf>
    <xf numFmtId="3" fontId="38" fillId="4" borderId="332" xfId="1" applyNumberFormat="1" applyFont="1" applyFill="1" applyBorder="1" applyAlignment="1">
      <alignment horizontal="center" vertical="center"/>
    </xf>
    <xf numFmtId="0" fontId="17" fillId="4" borderId="332" xfId="1" applyFont="1" applyFill="1" applyBorder="1" applyAlignment="1">
      <alignment horizontal="center" vertical="center"/>
    </xf>
    <xf numFmtId="172" fontId="38" fillId="4" borderId="332" xfId="1" applyNumberFormat="1" applyFont="1" applyFill="1" applyBorder="1" applyAlignment="1">
      <alignment horizontal="center" vertical="center"/>
    </xf>
    <xf numFmtId="172" fontId="38" fillId="4" borderId="278" xfId="1" applyNumberFormat="1" applyFont="1" applyFill="1" applyBorder="1" applyAlignment="1">
      <alignment horizontal="center" vertical="center"/>
    </xf>
    <xf numFmtId="14" fontId="38" fillId="4" borderId="332" xfId="1" applyNumberFormat="1" applyFont="1" applyFill="1" applyBorder="1" applyAlignment="1">
      <alignment horizontal="center" vertical="center"/>
    </xf>
    <xf numFmtId="14" fontId="38" fillId="4" borderId="278" xfId="1" applyNumberFormat="1" applyFont="1" applyFill="1" applyBorder="1" applyAlignment="1">
      <alignment horizontal="center" vertical="center"/>
    </xf>
    <xf numFmtId="14" fontId="38" fillId="4" borderId="304" xfId="1" quotePrefix="1" applyNumberFormat="1" applyFont="1" applyFill="1" applyBorder="1" applyAlignment="1">
      <alignment horizontal="center" vertical="center"/>
    </xf>
    <xf numFmtId="2" fontId="38" fillId="24" borderId="393" xfId="1" applyNumberFormat="1" applyFont="1" applyFill="1" applyBorder="1" applyAlignment="1">
      <alignment horizontal="center" vertical="center"/>
    </xf>
    <xf numFmtId="2" fontId="38" fillId="4" borderId="339" xfId="1" applyNumberFormat="1" applyFont="1" applyFill="1" applyBorder="1" applyAlignment="1">
      <alignment horizontal="center" vertical="center"/>
    </xf>
    <xf numFmtId="3" fontId="41" fillId="24" borderId="500" xfId="1" applyNumberFormat="1" applyFont="1" applyFill="1" applyBorder="1" applyAlignment="1">
      <alignment horizontal="center" vertical="center"/>
    </xf>
    <xf numFmtId="3" fontId="17" fillId="4" borderId="18" xfId="1" applyNumberFormat="1" applyFont="1" applyFill="1" applyBorder="1" applyAlignment="1">
      <alignment horizontal="center" vertical="center"/>
    </xf>
    <xf numFmtId="3" fontId="41" fillId="4" borderId="325" xfId="1" applyNumberFormat="1" applyFont="1" applyFill="1" applyBorder="1" applyAlignment="1">
      <alignment horizontal="center" vertical="center"/>
    </xf>
    <xf numFmtId="3" fontId="17" fillId="0" borderId="164" xfId="1" applyNumberFormat="1" applyFont="1" applyFill="1" applyBorder="1" applyAlignment="1">
      <alignment horizontal="center" vertical="center"/>
    </xf>
    <xf numFmtId="0" fontId="23" fillId="4" borderId="338" xfId="1" applyFont="1" applyFill="1" applyBorder="1" applyAlignment="1">
      <alignment horizontal="center" vertical="center"/>
    </xf>
    <xf numFmtId="3" fontId="17" fillId="35" borderId="8" xfId="1" applyNumberFormat="1" applyFont="1" applyFill="1" applyBorder="1" applyAlignment="1">
      <alignment horizontal="center" vertical="center"/>
    </xf>
    <xf numFmtId="3" fontId="17" fillId="4" borderId="178" xfId="1" applyNumberFormat="1" applyFont="1" applyFill="1" applyBorder="1" applyAlignment="1">
      <alignment horizontal="center" vertical="center"/>
    </xf>
    <xf numFmtId="3" fontId="17" fillId="0" borderId="463" xfId="1" applyNumberFormat="1" applyFont="1" applyFill="1" applyBorder="1" applyAlignment="1">
      <alignment horizontal="center" vertical="center"/>
    </xf>
    <xf numFmtId="3" fontId="38" fillId="24" borderId="243" xfId="1" applyNumberFormat="1" applyFont="1" applyFill="1" applyBorder="1" applyAlignment="1">
      <alignment horizontal="left" vertical="center"/>
    </xf>
    <xf numFmtId="172" fontId="38" fillId="24" borderId="428" xfId="1" applyNumberFormat="1" applyFont="1" applyFill="1" applyBorder="1" applyAlignment="1">
      <alignment horizontal="center" vertical="center"/>
    </xf>
    <xf numFmtId="14" fontId="38" fillId="24" borderId="243" xfId="1" applyNumberFormat="1" applyFont="1" applyFill="1" applyBorder="1" applyAlignment="1">
      <alignment horizontal="center" vertical="center"/>
    </xf>
    <xf numFmtId="14" fontId="38" fillId="24" borderId="313" xfId="1" applyNumberFormat="1" applyFont="1" applyFill="1" applyBorder="1" applyAlignment="1">
      <alignment horizontal="center" vertical="center"/>
    </xf>
    <xf numFmtId="3" fontId="17" fillId="24" borderId="332" xfId="1" applyNumberFormat="1" applyFont="1" applyFill="1" applyBorder="1" applyAlignment="1">
      <alignment horizontal="center" vertical="center"/>
    </xf>
    <xf numFmtId="0" fontId="43" fillId="24" borderId="338" xfId="1" applyFont="1" applyFill="1" applyBorder="1" applyAlignment="1">
      <alignment horizontal="center" vertical="center"/>
    </xf>
    <xf numFmtId="0" fontId="23" fillId="25" borderId="246" xfId="1" applyFont="1" applyFill="1" applyBorder="1" applyAlignment="1">
      <alignment horizontal="center" vertical="center"/>
    </xf>
    <xf numFmtId="3" fontId="37" fillId="24" borderId="332" xfId="1" applyNumberFormat="1" applyFont="1" applyFill="1" applyBorder="1" applyAlignment="1">
      <alignment horizontal="center" vertical="center"/>
    </xf>
    <xf numFmtId="3" fontId="39" fillId="24" borderId="102" xfId="1" applyNumberFormat="1" applyFont="1" applyFill="1" applyBorder="1" applyAlignment="1">
      <alignment horizontal="center" vertical="center"/>
    </xf>
    <xf numFmtId="0" fontId="41" fillId="39" borderId="326" xfId="1" applyFont="1" applyFill="1" applyBorder="1" applyAlignment="1">
      <alignment horizontal="center" vertical="center"/>
    </xf>
    <xf numFmtId="0" fontId="117" fillId="28" borderId="8" xfId="1" applyFont="1" applyFill="1" applyBorder="1" applyAlignment="1">
      <alignment horizontal="center"/>
    </xf>
    <xf numFmtId="0" fontId="59" fillId="35" borderId="499" xfId="1" applyFont="1" applyFill="1" applyBorder="1" applyAlignment="1">
      <alignment horizontal="center"/>
    </xf>
    <xf numFmtId="3" fontId="39" fillId="29" borderId="508" xfId="1" applyNumberFormat="1" applyFont="1" applyFill="1" applyBorder="1" applyAlignment="1">
      <alignment horizontal="center" vertical="center"/>
    </xf>
    <xf numFmtId="3" fontId="38" fillId="8" borderId="304" xfId="1" applyNumberFormat="1" applyFont="1" applyFill="1" applyBorder="1" applyAlignment="1">
      <alignment horizontal="center" vertical="center"/>
    </xf>
    <xf numFmtId="3" fontId="38" fillId="30" borderId="514" xfId="1" applyNumberFormat="1" applyFont="1" applyFill="1" applyBorder="1" applyAlignment="1">
      <alignment horizontal="center" vertical="center"/>
    </xf>
    <xf numFmtId="0" fontId="23" fillId="24" borderId="379" xfId="1" applyFont="1" applyFill="1" applyBorder="1" applyAlignment="1">
      <alignment horizontal="center" vertical="center"/>
    </xf>
    <xf numFmtId="0" fontId="115" fillId="35" borderId="8" xfId="1" applyFont="1" applyFill="1" applyBorder="1" applyAlignment="1">
      <alignment horizontal="left" vertical="center"/>
    </xf>
    <xf numFmtId="0" fontId="104" fillId="24" borderId="472" xfId="15" applyFont="1" applyFill="1" applyBorder="1" applyAlignment="1">
      <alignment horizontal="left" vertical="center"/>
    </xf>
    <xf numFmtId="0" fontId="104" fillId="4" borderId="472" xfId="15" applyFont="1" applyFill="1" applyBorder="1" applyAlignment="1">
      <alignment horizontal="left" vertical="center"/>
    </xf>
    <xf numFmtId="3" fontId="17" fillId="35" borderId="0" xfId="1" applyNumberFormat="1" applyFont="1" applyFill="1" applyBorder="1" applyAlignment="1">
      <alignment horizontal="center" vertical="center"/>
    </xf>
    <xf numFmtId="3" fontId="39" fillId="4" borderId="325" xfId="1" applyNumberFormat="1" applyFont="1" applyFill="1" applyBorder="1" applyAlignment="1">
      <alignment horizontal="center" vertical="center"/>
    </xf>
    <xf numFmtId="3" fontId="17" fillId="0" borderId="243" xfId="1" applyNumberFormat="1" applyFont="1" applyFill="1" applyBorder="1" applyAlignment="1">
      <alignment horizontal="center"/>
    </xf>
    <xf numFmtId="3" fontId="38" fillId="0" borderId="164" xfId="1" applyNumberFormat="1" applyFont="1" applyFill="1" applyBorder="1" applyAlignment="1">
      <alignment horizontal="center" vertical="center"/>
    </xf>
    <xf numFmtId="3" fontId="38" fillId="4" borderId="328" xfId="1" applyNumberFormat="1" applyFont="1" applyFill="1" applyBorder="1" applyAlignment="1">
      <alignment horizontal="left" vertical="center"/>
    </xf>
    <xf numFmtId="3" fontId="38" fillId="4" borderId="243" xfId="1" applyNumberFormat="1" applyFont="1" applyFill="1" applyBorder="1" applyAlignment="1">
      <alignment horizontal="center" vertical="center"/>
    </xf>
    <xf numFmtId="0" fontId="17" fillId="4" borderId="243" xfId="1" applyFont="1" applyFill="1" applyBorder="1" applyAlignment="1">
      <alignment horizontal="center" vertical="center"/>
    </xf>
    <xf numFmtId="0" fontId="17" fillId="4" borderId="386" xfId="1" applyFont="1" applyFill="1" applyBorder="1" applyAlignment="1">
      <alignment horizontal="center" vertical="center"/>
    </xf>
    <xf numFmtId="172" fontId="38" fillId="24" borderId="243" xfId="1" applyNumberFormat="1" applyFont="1" applyFill="1" applyBorder="1" applyAlignment="1">
      <alignment horizontal="center" vertical="center"/>
    </xf>
    <xf numFmtId="14" fontId="38" fillId="35" borderId="367" xfId="1" applyNumberFormat="1" applyFont="1" applyFill="1" applyBorder="1" applyAlignment="1">
      <alignment horizontal="center" vertical="center"/>
    </xf>
    <xf numFmtId="3" fontId="39" fillId="24" borderId="367" xfId="1" applyNumberFormat="1" applyFont="1" applyFill="1" applyBorder="1" applyAlignment="1">
      <alignment horizontal="center" vertical="center"/>
    </xf>
    <xf numFmtId="3" fontId="39" fillId="4" borderId="332" xfId="1" applyNumberFormat="1" applyFont="1" applyFill="1" applyBorder="1" applyAlignment="1">
      <alignment horizontal="center" vertical="center"/>
    </xf>
    <xf numFmtId="3" fontId="39" fillId="4" borderId="301" xfId="1" applyNumberFormat="1" applyFont="1" applyFill="1" applyBorder="1" applyAlignment="1">
      <alignment horizontal="center" vertical="center"/>
    </xf>
    <xf numFmtId="0" fontId="17" fillId="4" borderId="278" xfId="1" applyFont="1" applyFill="1" applyBorder="1" applyAlignment="1">
      <alignment horizontal="center" vertical="center"/>
    </xf>
    <xf numFmtId="0" fontId="23" fillId="24" borderId="0" xfId="1" applyFont="1" applyFill="1" applyBorder="1" applyAlignment="1">
      <alignment horizontal="center" vertical="center"/>
    </xf>
    <xf numFmtId="3" fontId="39" fillId="4" borderId="299" xfId="1" applyNumberFormat="1" applyFont="1" applyFill="1" applyBorder="1" applyAlignment="1">
      <alignment horizontal="center" vertical="center"/>
    </xf>
    <xf numFmtId="14" fontId="38" fillId="4" borderId="514" xfId="1" applyNumberFormat="1" applyFont="1" applyFill="1" applyBorder="1" applyAlignment="1">
      <alignment horizontal="center" vertical="center"/>
    </xf>
    <xf numFmtId="167" fontId="12" fillId="0" borderId="509" xfId="1" applyNumberFormat="1" applyFont="1" applyFill="1" applyBorder="1" applyAlignment="1">
      <alignment horizontal="center" vertical="center"/>
    </xf>
    <xf numFmtId="3" fontId="13" fillId="0" borderId="509" xfId="1" applyNumberFormat="1" applyFont="1" applyFill="1" applyBorder="1" applyAlignment="1">
      <alignment horizontal="center" vertical="center"/>
    </xf>
    <xf numFmtId="3" fontId="17" fillId="4" borderId="482" xfId="1" applyNumberFormat="1" applyFont="1" applyFill="1" applyBorder="1" applyAlignment="1">
      <alignment horizontal="center" vertical="center"/>
    </xf>
    <xf numFmtId="3" fontId="17" fillId="4" borderId="509" xfId="1" applyNumberFormat="1" applyFont="1" applyFill="1" applyBorder="1" applyAlignment="1">
      <alignment horizontal="center" vertical="center"/>
    </xf>
    <xf numFmtId="3" fontId="17" fillId="4" borderId="541" xfId="1" applyNumberFormat="1" applyFont="1" applyFill="1" applyBorder="1" applyAlignment="1">
      <alignment horizontal="center" vertical="center"/>
    </xf>
    <xf numFmtId="3" fontId="17" fillId="52" borderId="509" xfId="1" applyNumberFormat="1" applyFont="1" applyFill="1" applyBorder="1" applyAlignment="1">
      <alignment horizontal="center" vertical="center"/>
    </xf>
    <xf numFmtId="3" fontId="38" fillId="24" borderId="509" xfId="1" applyNumberFormat="1" applyFont="1" applyFill="1" applyBorder="1" applyAlignment="1">
      <alignment horizontal="center" vertical="center"/>
    </xf>
    <xf numFmtId="3" fontId="38" fillId="24" borderId="482" xfId="1" applyNumberFormat="1" applyFont="1" applyFill="1" applyBorder="1" applyAlignment="1">
      <alignment horizontal="center" vertical="center"/>
    </xf>
    <xf numFmtId="3" fontId="17" fillId="25" borderId="520" xfId="1" applyNumberFormat="1" applyFont="1" applyFill="1" applyBorder="1" applyAlignment="1">
      <alignment horizontal="center" vertical="center"/>
    </xf>
    <xf numFmtId="3" fontId="17" fillId="24" borderId="509" xfId="1" applyNumberFormat="1" applyFont="1" applyFill="1" applyBorder="1" applyAlignment="1">
      <alignment horizontal="center" vertical="center"/>
    </xf>
    <xf numFmtId="3" fontId="17" fillId="24" borderId="482" xfId="1" applyNumberFormat="1" applyFont="1" applyFill="1" applyBorder="1" applyAlignment="1">
      <alignment horizontal="center" vertical="center"/>
    </xf>
    <xf numFmtId="3" fontId="38" fillId="25" borderId="509" xfId="1" applyNumberFormat="1" applyFont="1" applyFill="1" applyBorder="1" applyAlignment="1">
      <alignment horizontal="center" vertical="center"/>
    </xf>
    <xf numFmtId="3" fontId="38" fillId="24" borderId="520" xfId="1" applyNumberFormat="1" applyFont="1" applyFill="1" applyBorder="1" applyAlignment="1">
      <alignment horizontal="center" vertical="center"/>
    </xf>
    <xf numFmtId="3" fontId="38" fillId="41" borderId="509" xfId="1" applyNumberFormat="1" applyFont="1" applyFill="1" applyBorder="1" applyAlignment="1">
      <alignment horizontal="center" vertical="center"/>
    </xf>
    <xf numFmtId="3" fontId="38" fillId="25" borderId="482" xfId="1" applyNumberFormat="1" applyFont="1" applyFill="1" applyBorder="1" applyAlignment="1">
      <alignment horizontal="center" vertical="center"/>
    </xf>
    <xf numFmtId="3" fontId="17" fillId="25" borderId="509" xfId="1" applyNumberFormat="1" applyFont="1" applyFill="1" applyBorder="1" applyAlignment="1">
      <alignment horizontal="center" vertical="center"/>
    </xf>
    <xf numFmtId="3" fontId="38" fillId="27" borderId="509" xfId="1" applyNumberFormat="1" applyFont="1" applyFill="1" applyBorder="1" applyAlignment="1">
      <alignment horizontal="center" vertical="center"/>
    </xf>
    <xf numFmtId="3" fontId="38" fillId="26" borderId="520" xfId="1" applyNumberFormat="1" applyFont="1" applyFill="1" applyBorder="1" applyAlignment="1">
      <alignment horizontal="center" vertical="center"/>
    </xf>
    <xf numFmtId="3" fontId="38" fillId="25" borderId="514" xfId="1" applyNumberFormat="1" applyFont="1" applyFill="1" applyBorder="1" applyAlignment="1">
      <alignment horizontal="center" vertical="center"/>
    </xf>
    <xf numFmtId="3" fontId="38" fillId="24" borderId="514" xfId="1" applyNumberFormat="1" applyFont="1" applyFill="1" applyBorder="1" applyAlignment="1">
      <alignment horizontal="center" vertical="center"/>
    </xf>
    <xf numFmtId="3" fontId="17" fillId="41" borderId="509" xfId="1" applyNumberFormat="1" applyFont="1" applyFill="1" applyBorder="1" applyAlignment="1">
      <alignment horizontal="center" vertical="center"/>
    </xf>
    <xf numFmtId="3" fontId="38" fillId="27" borderId="520" xfId="1" applyNumberFormat="1" applyFont="1" applyFill="1" applyBorder="1" applyAlignment="1">
      <alignment horizontal="center" vertical="center"/>
    </xf>
    <xf numFmtId="3" fontId="17" fillId="24" borderId="514" xfId="1" applyNumberFormat="1" applyFont="1" applyFill="1" applyBorder="1" applyAlignment="1">
      <alignment horizontal="center" vertical="center"/>
    </xf>
    <xf numFmtId="3" fontId="17" fillId="25" borderId="494" xfId="1" applyNumberFormat="1" applyFont="1" applyFill="1" applyBorder="1" applyAlignment="1">
      <alignment horizontal="center" vertical="center"/>
    </xf>
    <xf numFmtId="3" fontId="38" fillId="26" borderId="509" xfId="1" applyNumberFormat="1" applyFont="1" applyFill="1" applyBorder="1" applyAlignment="1">
      <alignment horizontal="center" vertical="center"/>
    </xf>
    <xf numFmtId="3" fontId="17" fillId="26" borderId="509" xfId="1" applyNumberFormat="1" applyFont="1" applyFill="1" applyBorder="1" applyAlignment="1">
      <alignment horizontal="center" vertical="center"/>
    </xf>
    <xf numFmtId="3" fontId="38" fillId="26" borderId="482" xfId="1" applyNumberFormat="1" applyFont="1" applyFill="1" applyBorder="1" applyAlignment="1">
      <alignment horizontal="center" vertical="center"/>
    </xf>
    <xf numFmtId="3" fontId="38" fillId="25" borderId="520" xfId="1" applyNumberFormat="1" applyFont="1" applyFill="1" applyBorder="1" applyAlignment="1">
      <alignment horizontal="center" vertical="center"/>
    </xf>
    <xf numFmtId="3" fontId="38" fillId="27" borderId="482" xfId="1" applyNumberFormat="1" applyFont="1" applyFill="1" applyBorder="1" applyAlignment="1">
      <alignment horizontal="center" vertical="center"/>
    </xf>
    <xf numFmtId="3" fontId="17" fillId="27" borderId="509" xfId="1" applyNumberFormat="1" applyFont="1" applyFill="1" applyBorder="1" applyAlignment="1">
      <alignment horizontal="center" vertical="center"/>
    </xf>
    <xf numFmtId="3" fontId="17" fillId="24" borderId="520" xfId="1" applyNumberFormat="1" applyFont="1" applyFill="1" applyBorder="1" applyAlignment="1">
      <alignment horizontal="center" vertical="center"/>
    </xf>
    <xf numFmtId="3" fontId="17" fillId="25" borderId="514" xfId="1" applyNumberFormat="1" applyFont="1" applyFill="1" applyBorder="1" applyAlignment="1">
      <alignment horizontal="center" vertical="center"/>
    </xf>
    <xf numFmtId="3" fontId="38" fillId="25" borderId="494" xfId="1" applyNumberFormat="1" applyFont="1" applyFill="1" applyBorder="1" applyAlignment="1">
      <alignment horizontal="center" vertical="center"/>
    </xf>
    <xf numFmtId="3" fontId="38" fillId="34" borderId="514" xfId="1" applyNumberFormat="1" applyFont="1" applyFill="1" applyBorder="1" applyAlignment="1">
      <alignment horizontal="center" vertical="center"/>
    </xf>
    <xf numFmtId="3" fontId="38" fillId="34" borderId="509" xfId="1" applyNumberFormat="1" applyFont="1" applyFill="1" applyBorder="1" applyAlignment="1">
      <alignment horizontal="center" vertical="center"/>
    </xf>
    <xf numFmtId="3" fontId="17" fillId="34" borderId="514" xfId="1" applyNumberFormat="1" applyFont="1" applyFill="1" applyBorder="1" applyAlignment="1">
      <alignment horizontal="center" vertical="center"/>
    </xf>
    <xf numFmtId="3" fontId="38" fillId="35" borderId="509" xfId="1" applyNumberFormat="1" applyFont="1" applyFill="1" applyBorder="1" applyAlignment="1">
      <alignment horizontal="center" vertical="center"/>
    </xf>
    <xf numFmtId="3" fontId="38" fillId="35" borderId="494" xfId="1" applyNumberFormat="1" applyFont="1" applyFill="1" applyBorder="1" applyAlignment="1">
      <alignment horizontal="center" vertical="center"/>
    </xf>
    <xf numFmtId="3" fontId="38" fillId="34" borderId="494" xfId="1" applyNumberFormat="1" applyFont="1" applyFill="1" applyBorder="1" applyAlignment="1">
      <alignment horizontal="center" vertical="center"/>
    </xf>
    <xf numFmtId="3" fontId="38" fillId="35" borderId="514" xfId="1" applyNumberFormat="1" applyFont="1" applyFill="1" applyBorder="1" applyAlignment="1">
      <alignment horizontal="center" vertical="center"/>
    </xf>
    <xf numFmtId="3" fontId="17" fillId="35" borderId="509" xfId="1" applyNumberFormat="1" applyFont="1" applyFill="1" applyBorder="1" applyAlignment="1">
      <alignment horizontal="center" vertical="center"/>
    </xf>
    <xf numFmtId="3" fontId="17" fillId="34" borderId="509" xfId="1" applyNumberFormat="1" applyFont="1" applyFill="1" applyBorder="1" applyAlignment="1">
      <alignment horizontal="center" vertical="center"/>
    </xf>
    <xf numFmtId="3" fontId="17" fillId="34" borderId="494" xfId="1" applyNumberFormat="1" applyFont="1" applyFill="1" applyBorder="1" applyAlignment="1">
      <alignment horizontal="center" vertical="center"/>
    </xf>
    <xf numFmtId="3" fontId="17" fillId="35" borderId="494" xfId="1" applyNumberFormat="1" applyFont="1" applyFill="1" applyBorder="1" applyAlignment="1">
      <alignment horizontal="center" vertical="center"/>
    </xf>
    <xf numFmtId="3" fontId="38" fillId="34" borderId="482" xfId="1" applyNumberFormat="1" applyFont="1" applyFill="1" applyBorder="1" applyAlignment="1">
      <alignment horizontal="center" vertical="center"/>
    </xf>
    <xf numFmtId="3" fontId="17" fillId="35" borderId="514" xfId="1" applyNumberFormat="1" applyFont="1" applyFill="1" applyBorder="1" applyAlignment="1">
      <alignment horizontal="center" vertical="center"/>
    </xf>
    <xf numFmtId="3" fontId="38" fillId="34" borderId="520" xfId="1" applyNumberFormat="1" applyFont="1" applyFill="1" applyBorder="1" applyAlignment="1">
      <alignment horizontal="center" vertical="center"/>
    </xf>
    <xf numFmtId="3" fontId="17" fillId="34" borderId="482" xfId="1" applyNumberFormat="1" applyFont="1" applyFill="1" applyBorder="1" applyAlignment="1">
      <alignment horizontal="center" vertical="center"/>
    </xf>
    <xf numFmtId="3" fontId="17" fillId="34" borderId="520" xfId="1" applyNumberFormat="1" applyFont="1" applyFill="1" applyBorder="1" applyAlignment="1">
      <alignment horizontal="center" vertical="center"/>
    </xf>
    <xf numFmtId="3" fontId="38" fillId="35" borderId="520" xfId="1" applyNumberFormat="1" applyFont="1" applyFill="1" applyBorder="1" applyAlignment="1">
      <alignment horizontal="center" vertical="center"/>
    </xf>
    <xf numFmtId="3" fontId="38" fillId="35" borderId="482" xfId="1" applyNumberFormat="1" applyFont="1" applyFill="1" applyBorder="1" applyAlignment="1">
      <alignment horizontal="center" vertical="center"/>
    </xf>
    <xf numFmtId="3" fontId="38" fillId="29" borderId="514" xfId="1" applyNumberFormat="1" applyFont="1" applyFill="1" applyBorder="1" applyAlignment="1">
      <alignment horizontal="center" vertical="center"/>
    </xf>
    <xf numFmtId="3" fontId="17" fillId="29" borderId="514" xfId="1" applyNumberFormat="1" applyFont="1" applyFill="1" applyBorder="1" applyAlignment="1">
      <alignment horizontal="center" vertical="center"/>
    </xf>
    <xf numFmtId="3" fontId="17" fillId="12" borderId="482" xfId="1" applyNumberFormat="1" applyFont="1" applyFill="1" applyBorder="1" applyAlignment="1">
      <alignment horizontal="center" vertical="center"/>
    </xf>
    <xf numFmtId="3" fontId="38" fillId="11" borderId="509" xfId="1" applyNumberFormat="1" applyFont="1" applyFill="1" applyBorder="1" applyAlignment="1">
      <alignment horizontal="center" vertical="center"/>
    </xf>
    <xf numFmtId="3" fontId="17" fillId="12" borderId="509" xfId="1" applyNumberFormat="1" applyFont="1" applyFill="1" applyBorder="1" applyAlignment="1">
      <alignment horizontal="center" vertical="center"/>
    </xf>
    <xf numFmtId="3" fontId="17" fillId="11" borderId="509" xfId="1" applyNumberFormat="1" applyFont="1" applyFill="1" applyBorder="1" applyAlignment="1">
      <alignment horizontal="center" vertical="center"/>
    </xf>
    <xf numFmtId="3" fontId="38" fillId="11" borderId="520" xfId="1" applyNumberFormat="1" applyFont="1" applyFill="1" applyBorder="1" applyAlignment="1">
      <alignment horizontal="center" vertical="center"/>
    </xf>
    <xf numFmtId="3" fontId="17" fillId="10" borderId="482" xfId="1" applyNumberFormat="1" applyFont="1" applyFill="1" applyBorder="1" applyAlignment="1">
      <alignment horizontal="center" vertical="center"/>
    </xf>
    <xf numFmtId="3" fontId="17" fillId="11" borderId="494" xfId="1" applyNumberFormat="1" applyFont="1" applyFill="1" applyBorder="1" applyAlignment="1">
      <alignment horizontal="center" vertical="center"/>
    </xf>
    <xf numFmtId="3" fontId="17" fillId="12" borderId="514" xfId="1" applyNumberFormat="1" applyFont="1" applyFill="1" applyBorder="1" applyAlignment="1">
      <alignment horizontal="center" vertical="center"/>
    </xf>
    <xf numFmtId="3" fontId="17" fillId="12" borderId="494" xfId="1" applyNumberFormat="1" applyFont="1" applyFill="1" applyBorder="1" applyAlignment="1">
      <alignment horizontal="center" vertical="center"/>
    </xf>
    <xf numFmtId="3" fontId="38" fillId="11" borderId="514" xfId="1" applyNumberFormat="1" applyFont="1" applyFill="1" applyBorder="1" applyAlignment="1">
      <alignment horizontal="center" vertical="center"/>
    </xf>
    <xf numFmtId="3" fontId="17" fillId="13" borderId="520" xfId="1" applyNumberFormat="1" applyFont="1" applyFill="1" applyBorder="1" applyAlignment="1">
      <alignment horizontal="center" vertical="center"/>
    </xf>
    <xf numFmtId="3" fontId="17" fillId="14" borderId="509" xfId="1" applyNumberFormat="1" applyFont="1" applyFill="1" applyBorder="1" applyAlignment="1">
      <alignment horizontal="center" vertical="center"/>
    </xf>
    <xf numFmtId="3" fontId="17" fillId="11" borderId="520" xfId="1" applyNumberFormat="1" applyFont="1" applyFill="1" applyBorder="1" applyAlignment="1">
      <alignment horizontal="center" vertical="center"/>
    </xf>
    <xf numFmtId="3" fontId="38" fillId="11" borderId="482" xfId="1" applyNumberFormat="1" applyFont="1" applyFill="1" applyBorder="1" applyAlignment="1">
      <alignment horizontal="center" vertical="center"/>
    </xf>
    <xf numFmtId="3" fontId="150" fillId="34" borderId="64" xfId="1" applyNumberFormat="1" applyFont="1" applyFill="1" applyBorder="1" applyAlignment="1">
      <alignment horizontal="center" vertical="center"/>
    </xf>
    <xf numFmtId="3" fontId="150" fillId="35" borderId="64" xfId="1" applyNumberFormat="1" applyFont="1" applyFill="1" applyBorder="1" applyAlignment="1">
      <alignment horizontal="center" vertical="center"/>
    </xf>
    <xf numFmtId="0" fontId="150" fillId="35" borderId="64" xfId="1" applyFont="1" applyFill="1" applyBorder="1" applyAlignment="1">
      <alignment horizontal="center" vertical="center"/>
    </xf>
    <xf numFmtId="0" fontId="150" fillId="34" borderId="24" xfId="1" applyFont="1" applyFill="1" applyBorder="1" applyAlignment="1">
      <alignment horizontal="center" vertical="center"/>
    </xf>
    <xf numFmtId="0" fontId="150" fillId="34" borderId="64" xfId="1" applyFont="1" applyFill="1" applyBorder="1" applyAlignment="1">
      <alignment horizontal="center" vertical="center"/>
    </xf>
    <xf numFmtId="3" fontId="150" fillId="25" borderId="325" xfId="1" applyNumberFormat="1" applyFont="1" applyFill="1" applyBorder="1" applyAlignment="1">
      <alignment horizontal="center" vertical="center"/>
    </xf>
    <xf numFmtId="3" fontId="150" fillId="24" borderId="64" xfId="1" applyNumberFormat="1" applyFont="1" applyFill="1" applyBorder="1" applyAlignment="1">
      <alignment horizontal="center" vertical="center"/>
    </xf>
    <xf numFmtId="3" fontId="150" fillId="25" borderId="64" xfId="1" applyNumberFormat="1" applyFont="1" applyFill="1" applyBorder="1" applyAlignment="1">
      <alignment horizontal="center" vertical="center"/>
    </xf>
    <xf numFmtId="0" fontId="150" fillId="24" borderId="325" xfId="1" applyFont="1" applyFill="1" applyBorder="1" applyAlignment="1">
      <alignment horizontal="center" vertical="center"/>
    </xf>
    <xf numFmtId="0" fontId="150" fillId="24" borderId="332" xfId="1" applyFont="1" applyFill="1" applyBorder="1" applyAlignment="1">
      <alignment horizontal="center" vertical="center"/>
    </xf>
    <xf numFmtId="0" fontId="150" fillId="24" borderId="331" xfId="1" applyFont="1" applyFill="1" applyBorder="1" applyAlignment="1">
      <alignment horizontal="center" vertical="center"/>
    </xf>
    <xf numFmtId="0" fontId="150" fillId="25" borderId="325" xfId="1" applyFont="1" applyFill="1" applyBorder="1" applyAlignment="1">
      <alignment horizontal="center" vertical="center"/>
    </xf>
    <xf numFmtId="3" fontId="150" fillId="25" borderId="332" xfId="1" applyNumberFormat="1" applyFont="1" applyFill="1" applyBorder="1" applyAlignment="1">
      <alignment horizontal="center" vertical="center"/>
    </xf>
    <xf numFmtId="3" fontId="150" fillId="24" borderId="325" xfId="1" applyNumberFormat="1" applyFont="1" applyFill="1" applyBorder="1" applyAlignment="1">
      <alignment horizontal="center" vertical="center"/>
    </xf>
    <xf numFmtId="0" fontId="150" fillId="25" borderId="64" xfId="1" applyFont="1" applyFill="1" applyBorder="1" applyAlignment="1">
      <alignment horizontal="center" vertical="center"/>
    </xf>
    <xf numFmtId="0" fontId="150" fillId="25" borderId="332" xfId="1" applyFont="1" applyFill="1" applyBorder="1" applyAlignment="1">
      <alignment horizontal="center" vertical="center"/>
    </xf>
    <xf numFmtId="3" fontId="150" fillId="25" borderId="24" xfId="1" applyNumberFormat="1" applyFont="1" applyFill="1" applyBorder="1" applyAlignment="1">
      <alignment horizontal="center" vertical="center"/>
    </xf>
    <xf numFmtId="3" fontId="150" fillId="25" borderId="72" xfId="1" applyNumberFormat="1" applyFont="1" applyFill="1" applyBorder="1" applyAlignment="1">
      <alignment horizontal="center" vertical="center"/>
    </xf>
    <xf numFmtId="0" fontId="150" fillId="24" borderId="64" xfId="1" applyFont="1" applyFill="1" applyBorder="1" applyAlignment="1">
      <alignment horizontal="center" vertical="center"/>
    </xf>
    <xf numFmtId="3" fontId="150" fillId="24" borderId="24" xfId="1" applyNumberFormat="1" applyFont="1" applyFill="1" applyBorder="1" applyAlignment="1">
      <alignment horizontal="center" vertical="center"/>
    </xf>
    <xf numFmtId="0" fontId="150" fillId="24" borderId="72" xfId="1" applyFont="1" applyFill="1" applyBorder="1" applyAlignment="1">
      <alignment horizontal="center" vertical="center"/>
    </xf>
    <xf numFmtId="3" fontId="150" fillId="24" borderId="72" xfId="1" applyNumberFormat="1" applyFont="1" applyFill="1" applyBorder="1" applyAlignment="1">
      <alignment horizontal="center" vertical="center"/>
    </xf>
    <xf numFmtId="0" fontId="150" fillId="25" borderId="72" xfId="1" applyFont="1" applyFill="1" applyBorder="1" applyAlignment="1">
      <alignment horizontal="center" vertical="center"/>
    </xf>
    <xf numFmtId="3" fontId="150" fillId="25" borderId="331" xfId="1" applyNumberFormat="1" applyFont="1" applyFill="1" applyBorder="1" applyAlignment="1">
      <alignment horizontal="center" vertical="center"/>
    </xf>
    <xf numFmtId="0" fontId="150" fillId="25" borderId="331" xfId="1" applyFont="1" applyFill="1" applyBorder="1" applyAlignment="1">
      <alignment horizontal="center" vertical="center"/>
    </xf>
    <xf numFmtId="0" fontId="150" fillId="25" borderId="245" xfId="1" applyFont="1" applyFill="1" applyBorder="1" applyAlignment="1">
      <alignment horizontal="center" vertical="center"/>
    </xf>
    <xf numFmtId="3" fontId="150" fillId="52" borderId="301" xfId="1" applyNumberFormat="1" applyFont="1" applyFill="1" applyBorder="1" applyAlignment="1">
      <alignment horizontal="center" vertical="center"/>
    </xf>
    <xf numFmtId="3" fontId="150" fillId="4" borderId="311" xfId="1" applyNumberFormat="1" applyFont="1" applyFill="1" applyBorder="1" applyAlignment="1">
      <alignment horizontal="center" vertical="center"/>
    </xf>
    <xf numFmtId="0" fontId="150" fillId="4" borderId="325" xfId="1" applyFont="1" applyFill="1" applyBorder="1" applyAlignment="1">
      <alignment horizontal="center" vertical="center"/>
    </xf>
    <xf numFmtId="0" fontId="150" fillId="4" borderId="311" xfId="1" applyFont="1" applyFill="1" applyBorder="1" applyAlignment="1">
      <alignment horizontal="center" vertical="center"/>
    </xf>
    <xf numFmtId="0" fontId="150" fillId="4" borderId="317" xfId="1" applyFont="1" applyFill="1" applyBorder="1" applyAlignment="1">
      <alignment horizontal="center" vertical="center"/>
    </xf>
    <xf numFmtId="3" fontId="150" fillId="4" borderId="317" xfId="1" applyNumberFormat="1" applyFont="1" applyFill="1" applyBorder="1" applyAlignment="1">
      <alignment horizontal="center" vertical="center"/>
    </xf>
    <xf numFmtId="3" fontId="150" fillId="52" borderId="317" xfId="1" applyNumberFormat="1" applyFont="1" applyFill="1" applyBorder="1" applyAlignment="1">
      <alignment horizontal="center" vertical="center"/>
    </xf>
    <xf numFmtId="3" fontId="150" fillId="4" borderId="275" xfId="1" applyNumberFormat="1" applyFont="1" applyFill="1" applyBorder="1" applyAlignment="1">
      <alignment horizontal="center" vertical="center"/>
    </xf>
    <xf numFmtId="3" fontId="150" fillId="4" borderId="300" xfId="1" applyNumberFormat="1" applyFont="1" applyFill="1" applyBorder="1" applyAlignment="1">
      <alignment horizontal="center" vertical="center"/>
    </xf>
    <xf numFmtId="3" fontId="150" fillId="3" borderId="64" xfId="1" applyNumberFormat="1" applyFont="1" applyFill="1" applyBorder="1" applyAlignment="1">
      <alignment horizontal="center" vertical="center"/>
    </xf>
    <xf numFmtId="0" fontId="150" fillId="25" borderId="24" xfId="1" applyFont="1" applyFill="1" applyBorder="1" applyAlignment="1">
      <alignment horizontal="center" vertical="center"/>
    </xf>
    <xf numFmtId="3" fontId="150" fillId="24" borderId="509" xfId="1" applyNumberFormat="1" applyFont="1" applyFill="1" applyBorder="1" applyAlignment="1">
      <alignment horizontal="center" vertical="center"/>
    </xf>
    <xf numFmtId="3" fontId="17" fillId="3" borderId="509" xfId="1" applyNumberFormat="1" applyFont="1" applyFill="1" applyBorder="1" applyAlignment="1">
      <alignment horizontal="center" vertical="center"/>
    </xf>
    <xf numFmtId="3" fontId="17" fillId="4" borderId="520" xfId="1" applyNumberFormat="1" applyFont="1" applyFill="1" applyBorder="1" applyAlignment="1">
      <alignment horizontal="center" vertical="center"/>
    </xf>
    <xf numFmtId="3" fontId="17" fillId="52" borderId="482" xfId="1" applyNumberFormat="1" applyFont="1" applyFill="1" applyBorder="1" applyAlignment="1">
      <alignment horizontal="center" vertical="center"/>
    </xf>
    <xf numFmtId="3" fontId="17" fillId="52" borderId="520" xfId="1" applyNumberFormat="1" applyFont="1" applyFill="1" applyBorder="1" applyAlignment="1">
      <alignment horizontal="center" vertical="center"/>
    </xf>
    <xf numFmtId="3" fontId="17" fillId="25" borderId="482" xfId="1" applyNumberFormat="1" applyFont="1" applyFill="1" applyBorder="1" applyAlignment="1">
      <alignment horizontal="center" vertical="center"/>
    </xf>
    <xf numFmtId="3" fontId="17" fillId="24" borderId="494" xfId="1" applyNumberFormat="1" applyFont="1" applyFill="1" applyBorder="1" applyAlignment="1">
      <alignment horizontal="center" vertical="center"/>
    </xf>
    <xf numFmtId="0" fontId="23" fillId="37" borderId="21" xfId="1" applyFont="1" applyFill="1" applyBorder="1" applyAlignment="1">
      <alignment horizontal="center" vertical="center"/>
    </xf>
    <xf numFmtId="0" fontId="43" fillId="34" borderId="28" xfId="1" applyFont="1" applyFill="1" applyBorder="1" applyAlignment="1">
      <alignment horizontal="center" vertical="center"/>
    </xf>
    <xf numFmtId="0" fontId="43" fillId="24" borderId="28" xfId="1" applyFont="1" applyFill="1" applyBorder="1" applyAlignment="1">
      <alignment horizontal="center" vertical="center"/>
    </xf>
    <xf numFmtId="0" fontId="43" fillId="41" borderId="21" xfId="1" applyFont="1" applyFill="1" applyBorder="1" applyAlignment="1">
      <alignment horizontal="center" vertical="center"/>
    </xf>
    <xf numFmtId="0" fontId="43" fillId="42" borderId="17" xfId="1" applyFont="1" applyFill="1" applyBorder="1" applyAlignment="1">
      <alignment horizontal="center" vertical="center"/>
    </xf>
    <xf numFmtId="0" fontId="112" fillId="25" borderId="0" xfId="15" applyFont="1" applyFill="1" applyBorder="1" applyAlignment="1">
      <alignment horizontal="left" vertical="center"/>
    </xf>
    <xf numFmtId="0" fontId="116" fillId="24" borderId="0" xfId="15" applyFont="1" applyFill="1" applyBorder="1" applyAlignment="1">
      <alignment horizontal="left" vertical="center"/>
    </xf>
    <xf numFmtId="0" fontId="117" fillId="26" borderId="0" xfId="1" applyFont="1" applyFill="1" applyBorder="1" applyAlignment="1">
      <alignment horizontal="center"/>
    </xf>
    <xf numFmtId="3" fontId="17" fillId="27" borderId="331" xfId="1" applyNumberFormat="1" applyFont="1" applyFill="1" applyBorder="1" applyAlignment="1">
      <alignment horizontal="center" vertical="center"/>
    </xf>
    <xf numFmtId="3" fontId="17" fillId="25" borderId="18" xfId="1" applyNumberFormat="1" applyFont="1" applyFill="1" applyBorder="1" applyAlignment="1">
      <alignment horizontal="center" vertical="center"/>
    </xf>
    <xf numFmtId="3" fontId="17" fillId="24" borderId="283" xfId="1" applyNumberFormat="1" applyFont="1" applyFill="1" applyBorder="1" applyAlignment="1">
      <alignment horizontal="center" vertical="center"/>
    </xf>
    <xf numFmtId="3" fontId="17" fillId="4" borderId="101" xfId="1" applyNumberFormat="1" applyFont="1" applyFill="1" applyBorder="1" applyAlignment="1">
      <alignment horizontal="center" vertical="center"/>
    </xf>
    <xf numFmtId="3" fontId="39" fillId="42" borderId="64" xfId="1" applyNumberFormat="1" applyFont="1" applyFill="1" applyBorder="1" applyAlignment="1">
      <alignment horizontal="center" vertical="center"/>
    </xf>
    <xf numFmtId="3" fontId="17" fillId="41" borderId="24" xfId="1" applyNumberFormat="1" applyFont="1" applyFill="1" applyBorder="1" applyAlignment="1">
      <alignment horizontal="center" vertical="center"/>
    </xf>
    <xf numFmtId="3" fontId="17" fillId="24" borderId="243" xfId="1" applyNumberFormat="1" applyFont="1" applyFill="1" applyBorder="1" applyAlignment="1">
      <alignment horizontal="center" vertical="center"/>
    </xf>
    <xf numFmtId="3" fontId="17" fillId="4" borderId="71" xfId="1" applyNumberFormat="1" applyFont="1" applyFill="1" applyBorder="1" applyAlignment="1">
      <alignment horizontal="center" vertical="center"/>
    </xf>
    <xf numFmtId="3" fontId="38" fillId="0" borderId="104" xfId="1" applyNumberFormat="1" applyFont="1" applyFill="1" applyBorder="1" applyAlignment="1">
      <alignment horizontal="center" vertical="center"/>
    </xf>
    <xf numFmtId="3" fontId="38" fillId="0" borderId="279" xfId="1" applyNumberFormat="1" applyFont="1" applyFill="1" applyBorder="1" applyAlignment="1">
      <alignment horizontal="center" vertical="center"/>
    </xf>
    <xf numFmtId="3" fontId="38" fillId="29" borderId="514" xfId="1" applyNumberFormat="1" applyFont="1" applyFill="1" applyBorder="1" applyAlignment="1">
      <alignment horizontal="left" vertical="center"/>
    </xf>
    <xf numFmtId="3" fontId="38" fillId="41" borderId="24" xfId="1" applyNumberFormat="1" applyFont="1" applyFill="1" applyBorder="1" applyAlignment="1">
      <alignment horizontal="left" vertical="center"/>
    </xf>
    <xf numFmtId="3" fontId="38" fillId="35" borderId="325" xfId="1" applyNumberFormat="1" applyFont="1" applyFill="1" applyBorder="1" applyAlignment="1">
      <alignment horizontal="center" vertical="center"/>
    </xf>
    <xf numFmtId="3" fontId="150" fillId="35" borderId="24" xfId="1" applyNumberFormat="1" applyFont="1" applyFill="1" applyBorder="1" applyAlignment="1">
      <alignment horizontal="center" vertical="center"/>
    </xf>
    <xf numFmtId="3" fontId="150" fillId="4" borderId="325" xfId="1" applyNumberFormat="1" applyFont="1" applyFill="1" applyBorder="1" applyAlignment="1">
      <alignment horizontal="center" vertical="center"/>
    </xf>
    <xf numFmtId="3" fontId="17" fillId="42" borderId="509" xfId="1" applyNumberFormat="1" applyFont="1" applyFill="1" applyBorder="1" applyAlignment="1">
      <alignment horizontal="center" vertical="center"/>
    </xf>
    <xf numFmtId="3" fontId="17" fillId="4" borderId="514" xfId="1" applyNumberFormat="1" applyFont="1" applyFill="1" applyBorder="1" applyAlignment="1">
      <alignment horizontal="center" vertical="center"/>
    </xf>
    <xf numFmtId="0" fontId="17" fillId="29" borderId="514" xfId="1" applyFont="1" applyFill="1" applyBorder="1" applyAlignment="1">
      <alignment horizontal="center" vertical="center"/>
    </xf>
    <xf numFmtId="0" fontId="17" fillId="42" borderId="64" xfId="1" applyFont="1" applyFill="1" applyBorder="1" applyAlignment="1">
      <alignment horizontal="center" vertical="center"/>
    </xf>
    <xf numFmtId="0" fontId="17" fillId="4" borderId="72" xfId="1" applyFont="1" applyFill="1" applyBorder="1" applyAlignment="1">
      <alignment horizontal="center" vertical="center"/>
    </xf>
    <xf numFmtId="172" fontId="38" fillId="29" borderId="514" xfId="1" applyNumberFormat="1" applyFont="1" applyFill="1" applyBorder="1" applyAlignment="1">
      <alignment horizontal="center" vertical="center"/>
    </xf>
    <xf numFmtId="172" fontId="17" fillId="34" borderId="417" xfId="1" applyNumberFormat="1" applyFont="1" applyFill="1" applyBorder="1" applyAlignment="1">
      <alignment horizontal="center" vertical="center"/>
    </xf>
    <xf numFmtId="172" fontId="38" fillId="41" borderId="24" xfId="1" applyNumberFormat="1" applyFont="1" applyFill="1" applyBorder="1" applyAlignment="1">
      <alignment horizontal="center" vertical="center"/>
    </xf>
    <xf numFmtId="14" fontId="38" fillId="29" borderId="514" xfId="1" applyNumberFormat="1" applyFont="1" applyFill="1" applyBorder="1" applyAlignment="1">
      <alignment horizontal="center" vertical="center"/>
    </xf>
    <xf numFmtId="14" fontId="38" fillId="24" borderId="64" xfId="1" quotePrefix="1" applyNumberFormat="1" applyFont="1" applyFill="1" applyBorder="1" applyAlignment="1">
      <alignment horizontal="center" vertical="center"/>
    </xf>
    <xf numFmtId="14" fontId="38" fillId="41" borderId="24" xfId="1" applyNumberFormat="1" applyFont="1" applyFill="1" applyBorder="1" applyAlignment="1">
      <alignment horizontal="center" vertical="center"/>
    </xf>
    <xf numFmtId="14" fontId="38" fillId="25" borderId="245" xfId="1" quotePrefix="1" applyNumberFormat="1" applyFont="1" applyFill="1" applyBorder="1" applyAlignment="1">
      <alignment horizontal="center" vertical="center"/>
    </xf>
    <xf numFmtId="2" fontId="38" fillId="3" borderId="250" xfId="1" applyNumberFormat="1" applyFont="1" applyFill="1" applyBorder="1" applyAlignment="1">
      <alignment horizontal="center" vertical="center"/>
    </xf>
    <xf numFmtId="2" fontId="38" fillId="42" borderId="183" xfId="1" applyNumberFormat="1" applyFont="1" applyFill="1" applyBorder="1" applyAlignment="1">
      <alignment horizontal="center" vertical="center"/>
    </xf>
    <xf numFmtId="0" fontId="150" fillId="11" borderId="245" xfId="1" applyFont="1" applyFill="1" applyBorder="1" applyAlignment="1">
      <alignment horizontal="center" vertical="center"/>
    </xf>
    <xf numFmtId="0" fontId="150" fillId="14" borderId="64" xfId="1" applyFont="1" applyFill="1" applyBorder="1" applyAlignment="1">
      <alignment horizontal="center" vertical="center"/>
    </xf>
    <xf numFmtId="0" fontId="17" fillId="11" borderId="347" xfId="1" applyFont="1" applyFill="1" applyBorder="1" applyAlignment="1">
      <alignment horizontal="center" vertical="center"/>
    </xf>
    <xf numFmtId="0" fontId="49" fillId="0" borderId="0" xfId="0" applyFont="1" applyBorder="1" applyAlignment="1">
      <alignment horizontal="left" vertical="center"/>
    </xf>
    <xf numFmtId="3" fontId="74" fillId="4" borderId="509" xfId="1" applyNumberFormat="1" applyFont="1" applyFill="1" applyBorder="1" applyAlignment="1">
      <alignment horizontal="center" vertical="center"/>
    </xf>
    <xf numFmtId="3" fontId="63" fillId="0" borderId="509" xfId="1" applyNumberFormat="1" applyFont="1" applyFill="1" applyBorder="1" applyAlignment="1">
      <alignment horizontal="center" vertical="center"/>
    </xf>
    <xf numFmtId="3" fontId="63" fillId="0" borderId="508" xfId="1" applyNumberFormat="1" applyFont="1" applyFill="1" applyBorder="1" applyAlignment="1">
      <alignment horizontal="center" vertical="center"/>
    </xf>
    <xf numFmtId="0" fontId="104" fillId="2" borderId="491" xfId="15" applyFont="1" applyFill="1" applyBorder="1" applyAlignment="1">
      <alignment horizontal="left" vertical="center"/>
    </xf>
    <xf numFmtId="49" fontId="63" fillId="4" borderId="508" xfId="1" quotePrefix="1" applyNumberFormat="1" applyFont="1" applyFill="1" applyBorder="1" applyAlignment="1">
      <alignment horizontal="center" vertical="center"/>
    </xf>
    <xf numFmtId="49" fontId="63" fillId="2" borderId="491" xfId="1" quotePrefix="1" applyNumberFormat="1" applyFont="1" applyFill="1" applyBorder="1" applyAlignment="1">
      <alignment horizontal="center" vertical="center"/>
    </xf>
    <xf numFmtId="49" fontId="63" fillId="4" borderId="509" xfId="1" quotePrefix="1" applyNumberFormat="1" applyFont="1" applyFill="1" applyBorder="1" applyAlignment="1">
      <alignment horizontal="center" vertical="center"/>
    </xf>
    <xf numFmtId="3" fontId="38" fillId="2" borderId="508" xfId="1" applyNumberFormat="1" applyFont="1" applyFill="1" applyBorder="1" applyAlignment="1">
      <alignment horizontal="center" vertical="center"/>
    </xf>
    <xf numFmtId="0" fontId="104" fillId="11" borderId="491" xfId="15" applyFont="1" applyFill="1" applyBorder="1" applyAlignment="1">
      <alignment horizontal="left" vertical="center"/>
    </xf>
    <xf numFmtId="49" fontId="63" fillId="11" borderId="491" xfId="1" quotePrefix="1" applyNumberFormat="1" applyFont="1" applyFill="1" applyBorder="1" applyAlignment="1">
      <alignment horizontal="center" vertical="center"/>
    </xf>
    <xf numFmtId="3" fontId="74" fillId="54" borderId="64" xfId="1" applyNumberFormat="1" applyFont="1" applyFill="1" applyBorder="1" applyAlignment="1">
      <alignment horizontal="center" vertical="center"/>
    </xf>
    <xf numFmtId="169" fontId="17" fillId="0" borderId="542" xfId="1" applyNumberFormat="1" applyFont="1" applyFill="1" applyBorder="1" applyAlignment="1">
      <alignment horizontal="right" vertical="center"/>
    </xf>
    <xf numFmtId="169" fontId="17" fillId="0" borderId="543" xfId="1" applyNumberFormat="1" applyFont="1" applyFill="1" applyBorder="1" applyAlignment="1">
      <alignment horizontal="right" vertical="center"/>
    </xf>
    <xf numFmtId="3" fontId="45" fillId="0" borderId="511" xfId="1" applyNumberFormat="1" applyFont="1" applyFill="1" applyBorder="1" applyAlignment="1">
      <alignment horizontal="center" vertical="center"/>
    </xf>
    <xf numFmtId="169" fontId="17" fillId="0" borderId="164" xfId="1" applyNumberFormat="1" applyFont="1" applyFill="1" applyBorder="1" applyAlignment="1">
      <alignment vertical="center"/>
    </xf>
    <xf numFmtId="0" fontId="82" fillId="0" borderId="544" xfId="15" applyFont="1" applyFill="1" applyBorder="1" applyAlignment="1">
      <alignment horizontal="left" vertical="center"/>
    </xf>
    <xf numFmtId="0" fontId="96" fillId="0" borderId="64" xfId="15" applyFont="1" applyFill="1" applyBorder="1" applyAlignment="1">
      <alignment horizontal="center" vertical="center"/>
    </xf>
    <xf numFmtId="0" fontId="45" fillId="0" borderId="197" xfId="15" applyFont="1" applyFill="1" applyBorder="1" applyAlignment="1">
      <alignment horizontal="left" vertical="center"/>
    </xf>
    <xf numFmtId="0" fontId="17" fillId="55" borderId="509" xfId="1" applyFont="1" applyFill="1" applyBorder="1" applyAlignment="1">
      <alignment horizontal="center" vertical="center"/>
    </xf>
    <xf numFmtId="172" fontId="38" fillId="55" borderId="509" xfId="1" applyNumberFormat="1" applyFont="1" applyFill="1" applyBorder="1" applyAlignment="1">
      <alignment horizontal="center" vertical="center"/>
    </xf>
    <xf numFmtId="14" fontId="38" fillId="55" borderId="509" xfId="1" applyNumberFormat="1" applyFont="1" applyFill="1" applyBorder="1" applyAlignment="1">
      <alignment horizontal="center" vertical="center"/>
    </xf>
    <xf numFmtId="2" fontId="38" fillId="55" borderId="510" xfId="1" applyNumberFormat="1" applyFont="1" applyFill="1" applyBorder="1" applyAlignment="1">
      <alignment horizontal="center" vertical="center"/>
    </xf>
    <xf numFmtId="3" fontId="38" fillId="55" borderId="509" xfId="1" applyNumberFormat="1" applyFont="1" applyFill="1" applyBorder="1" applyAlignment="1">
      <alignment horizontal="left" vertical="center"/>
    </xf>
    <xf numFmtId="3" fontId="38" fillId="55" borderId="509" xfId="1" applyNumberFormat="1" applyFont="1" applyFill="1" applyBorder="1" applyAlignment="1">
      <alignment horizontal="center" vertical="center"/>
    </xf>
    <xf numFmtId="3" fontId="17" fillId="55" borderId="509" xfId="1" applyNumberFormat="1" applyFont="1" applyFill="1" applyBorder="1" applyAlignment="1">
      <alignment horizontal="center" vertical="center"/>
    </xf>
    <xf numFmtId="3" fontId="39" fillId="55" borderId="509" xfId="1" applyNumberFormat="1" applyFont="1" applyFill="1" applyBorder="1" applyAlignment="1">
      <alignment horizontal="center" vertical="center"/>
    </xf>
    <xf numFmtId="0" fontId="59" fillId="55" borderId="0" xfId="1" applyFont="1" applyFill="1" applyBorder="1" applyAlignment="1">
      <alignment horizontal="center" vertical="center"/>
    </xf>
    <xf numFmtId="0" fontId="41" fillId="55" borderId="326" xfId="1" applyFont="1" applyFill="1" applyBorder="1" applyAlignment="1">
      <alignment horizontal="center" vertical="center"/>
    </xf>
    <xf numFmtId="0" fontId="23" fillId="60" borderId="17" xfId="1" applyFont="1" applyFill="1" applyBorder="1" applyAlignment="1">
      <alignment horizontal="center" vertical="center"/>
    </xf>
    <xf numFmtId="3" fontId="39" fillId="29" borderId="426" xfId="1" applyNumberFormat="1" applyFont="1" applyFill="1" applyBorder="1" applyAlignment="1">
      <alignment horizontal="center" vertical="center"/>
    </xf>
    <xf numFmtId="3" fontId="38" fillId="35" borderId="491" xfId="1" applyNumberFormat="1" applyFont="1" applyFill="1" applyBorder="1" applyAlignment="1">
      <alignment horizontal="left" vertical="center"/>
    </xf>
    <xf numFmtId="3" fontId="38" fillId="35" borderId="491" xfId="1" applyNumberFormat="1" applyFont="1" applyFill="1" applyBorder="1" applyAlignment="1">
      <alignment horizontal="center" vertical="center"/>
    </xf>
    <xf numFmtId="0" fontId="17" fillId="35" borderId="491" xfId="1" applyFont="1" applyFill="1" applyBorder="1" applyAlignment="1">
      <alignment horizontal="center" vertical="center"/>
    </xf>
    <xf numFmtId="172" fontId="38" fillId="35" borderId="491" xfId="1" applyNumberFormat="1" applyFont="1" applyFill="1" applyBorder="1" applyAlignment="1">
      <alignment horizontal="center" vertical="center"/>
    </xf>
    <xf numFmtId="14" fontId="38" fillId="35" borderId="491" xfId="1" applyNumberFormat="1" applyFont="1" applyFill="1" applyBorder="1" applyAlignment="1">
      <alignment horizontal="center" vertical="center"/>
    </xf>
    <xf numFmtId="0" fontId="109" fillId="35" borderId="77" xfId="15" applyFont="1" applyFill="1" applyBorder="1" applyAlignment="1">
      <alignment horizontal="left" vertical="center"/>
    </xf>
    <xf numFmtId="0" fontId="104" fillId="56" borderId="77" xfId="15" applyFont="1" applyFill="1" applyBorder="1" applyAlignment="1">
      <alignment horizontal="left" vertical="center"/>
    </xf>
    <xf numFmtId="0" fontId="109" fillId="25" borderId="0" xfId="15" applyFont="1" applyFill="1" applyBorder="1" applyAlignment="1">
      <alignment horizontal="left" vertical="center"/>
    </xf>
    <xf numFmtId="0" fontId="117" fillId="24" borderId="4" xfId="1" applyFont="1" applyFill="1" applyBorder="1" applyAlignment="1">
      <alignment horizontal="center"/>
    </xf>
    <xf numFmtId="0" fontId="41" fillId="36" borderId="356" xfId="1" applyFont="1" applyFill="1" applyBorder="1" applyAlignment="1">
      <alignment horizontal="center" vertical="center"/>
    </xf>
    <xf numFmtId="0" fontId="40" fillId="34" borderId="356" xfId="1" applyFont="1" applyFill="1" applyBorder="1" applyAlignment="1">
      <alignment horizontal="center" vertical="center"/>
    </xf>
    <xf numFmtId="0" fontId="142" fillId="35" borderId="326" xfId="1" applyFont="1" applyFill="1" applyBorder="1" applyAlignment="1">
      <alignment horizontal="center" vertical="center"/>
    </xf>
    <xf numFmtId="0" fontId="41" fillId="40" borderId="326" xfId="1" applyFont="1" applyFill="1" applyBorder="1" applyAlignment="1">
      <alignment horizontal="center" vertical="center"/>
    </xf>
    <xf numFmtId="0" fontId="41" fillId="46" borderId="356" xfId="1" applyFont="1" applyFill="1" applyBorder="1" applyAlignment="1">
      <alignment horizontal="center" vertical="center"/>
    </xf>
    <xf numFmtId="3" fontId="17" fillId="35" borderId="459" xfId="1" applyNumberFormat="1" applyFont="1" applyFill="1" applyBorder="1" applyAlignment="1">
      <alignment horizontal="center" vertical="center"/>
    </xf>
    <xf numFmtId="3" fontId="39" fillId="37" borderId="326" xfId="1" applyNumberFormat="1" applyFont="1" applyFill="1" applyBorder="1" applyAlignment="1">
      <alignment horizontal="center" vertical="center"/>
    </xf>
    <xf numFmtId="3" fontId="17" fillId="24" borderId="18" xfId="1" applyNumberFormat="1" applyFont="1" applyFill="1" applyBorder="1" applyAlignment="1">
      <alignment horizontal="center" vertical="center"/>
    </xf>
    <xf numFmtId="3" fontId="39" fillId="37" borderId="325" xfId="1" applyNumberFormat="1" applyFont="1" applyFill="1" applyBorder="1" applyAlignment="1">
      <alignment horizontal="center" vertical="center"/>
    </xf>
    <xf numFmtId="3" fontId="17" fillId="34" borderId="24" xfId="1" applyNumberFormat="1" applyFont="1" applyFill="1" applyBorder="1" applyAlignment="1">
      <alignment horizontal="center" vertical="center"/>
    </xf>
    <xf numFmtId="3" fontId="38" fillId="0" borderId="304" xfId="1" applyNumberFormat="1" applyFont="1" applyFill="1" applyBorder="1" applyAlignment="1">
      <alignment horizontal="center" vertical="center" shrinkToFit="1"/>
    </xf>
    <xf numFmtId="3" fontId="38" fillId="35" borderId="417" xfId="1" applyNumberFormat="1" applyFont="1" applyFill="1" applyBorder="1" applyAlignment="1">
      <alignment horizontal="left" vertical="center"/>
    </xf>
    <xf numFmtId="3" fontId="38" fillId="25" borderId="169" xfId="1" applyNumberFormat="1" applyFont="1" applyFill="1" applyBorder="1" applyAlignment="1">
      <alignment horizontal="left" vertical="center"/>
    </xf>
    <xf numFmtId="3" fontId="17" fillId="35" borderId="325" xfId="1" applyNumberFormat="1" applyFont="1" applyFill="1" applyBorder="1" applyAlignment="1">
      <alignment horizontal="center" vertical="center"/>
    </xf>
    <xf numFmtId="3" fontId="150" fillId="34" borderId="304" xfId="1" applyNumberFormat="1" applyFont="1" applyFill="1" applyBorder="1" applyAlignment="1">
      <alignment horizontal="center" vertical="center"/>
    </xf>
    <xf numFmtId="3" fontId="17" fillId="34" borderId="245" xfId="1" applyNumberFormat="1" applyFont="1" applyFill="1" applyBorder="1" applyAlignment="1">
      <alignment horizontal="center" vertical="center"/>
    </xf>
    <xf numFmtId="3" fontId="150" fillId="24" borderId="332" xfId="1" applyNumberFormat="1" applyFont="1" applyFill="1" applyBorder="1" applyAlignment="1">
      <alignment horizontal="center" vertical="center"/>
    </xf>
    <xf numFmtId="0" fontId="17" fillId="35" borderId="459" xfId="1" applyFont="1" applyFill="1" applyBorder="1" applyAlignment="1">
      <alignment horizontal="center" vertical="center"/>
    </xf>
    <xf numFmtId="0" fontId="17" fillId="25" borderId="169" xfId="1" applyFont="1" applyFill="1" applyBorder="1" applyAlignment="1">
      <alignment horizontal="center" vertical="center"/>
    </xf>
    <xf numFmtId="172" fontId="38" fillId="35" borderId="417" xfId="1" applyNumberFormat="1" applyFont="1" applyFill="1" applyBorder="1" applyAlignment="1">
      <alignment horizontal="center" vertical="center"/>
    </xf>
    <xf numFmtId="172" fontId="17" fillId="34" borderId="304" xfId="1" applyNumberFormat="1" applyFont="1" applyFill="1" applyBorder="1" applyAlignment="1">
      <alignment horizontal="center" vertical="center"/>
    </xf>
    <xf numFmtId="172" fontId="17" fillId="34" borderId="72" xfId="1" applyNumberFormat="1" applyFont="1" applyFill="1" applyBorder="1" applyAlignment="1">
      <alignment horizontal="center" vertical="center"/>
    </xf>
    <xf numFmtId="172" fontId="38" fillId="25" borderId="169" xfId="1" applyNumberFormat="1" applyFont="1" applyFill="1" applyBorder="1" applyAlignment="1">
      <alignment horizontal="center" vertical="center"/>
    </xf>
    <xf numFmtId="14" fontId="38" fillId="35" borderId="417" xfId="1" applyNumberFormat="1" applyFont="1" applyFill="1" applyBorder="1" applyAlignment="1">
      <alignment horizontal="center" vertical="center"/>
    </xf>
    <xf numFmtId="14" fontId="38" fillId="25" borderId="169" xfId="1" applyNumberFormat="1" applyFont="1" applyFill="1" applyBorder="1" applyAlignment="1">
      <alignment horizontal="center" vertical="center"/>
    </xf>
    <xf numFmtId="2" fontId="38" fillId="39" borderId="100" xfId="1" applyNumberFormat="1" applyFont="1" applyFill="1" applyBorder="1" applyAlignment="1">
      <alignment horizontal="center" vertical="center"/>
    </xf>
    <xf numFmtId="2" fontId="38" fillId="46" borderId="183" xfId="1" applyNumberFormat="1" applyFont="1" applyFill="1" applyBorder="1" applyAlignment="1">
      <alignment horizontal="center" vertical="center"/>
    </xf>
    <xf numFmtId="0" fontId="49" fillId="0" borderId="0" xfId="0" applyFont="1" applyBorder="1" applyAlignment="1">
      <alignment horizontal="left" vertical="center"/>
    </xf>
    <xf numFmtId="0" fontId="82" fillId="0" borderId="175" xfId="15" applyFont="1" applyFill="1" applyBorder="1" applyAlignment="1">
      <alignment horizontal="left" vertical="center"/>
    </xf>
    <xf numFmtId="3" fontId="45" fillId="0" borderId="543" xfId="1" applyNumberFormat="1" applyFont="1" applyFill="1" applyBorder="1" applyAlignment="1">
      <alignment horizontal="center" vertical="center"/>
    </xf>
    <xf numFmtId="0" fontId="46" fillId="0" borderId="481" xfId="1" applyFont="1" applyFill="1" applyBorder="1" applyAlignment="1">
      <alignment horizontal="center" vertical="center"/>
    </xf>
    <xf numFmtId="0" fontId="46" fillId="0" borderId="526" xfId="1" applyFont="1" applyFill="1" applyBorder="1" applyAlignment="1">
      <alignment horizontal="center"/>
    </xf>
    <xf numFmtId="3" fontId="69" fillId="0" borderId="497" xfId="1" applyNumberFormat="1" applyFont="1" applyFill="1" applyBorder="1" applyAlignment="1">
      <alignment horizontal="center" vertical="center"/>
    </xf>
    <xf numFmtId="3" fontId="34" fillId="3" borderId="212" xfId="1" applyNumberFormat="1" applyFont="1" applyFill="1" applyBorder="1" applyAlignment="1">
      <alignment horizontal="center" vertical="center"/>
    </xf>
    <xf numFmtId="3" fontId="58" fillId="3" borderId="360" xfId="1" applyNumberFormat="1" applyFont="1" applyFill="1" applyBorder="1" applyAlignment="1">
      <alignment horizontal="center" vertical="center"/>
    </xf>
    <xf numFmtId="0" fontId="138" fillId="0" borderId="464" xfId="15" applyFont="1" applyFill="1" applyBorder="1" applyAlignment="1">
      <alignment horizontal="left" vertical="center"/>
    </xf>
    <xf numFmtId="169" fontId="41" fillId="0" borderId="174" xfId="1" applyNumberFormat="1" applyFont="1" applyFill="1" applyBorder="1" applyAlignment="1">
      <alignment horizontal="right" vertical="center"/>
    </xf>
    <xf numFmtId="0" fontId="45" fillId="0" borderId="539" xfId="15" applyFont="1" applyFill="1" applyBorder="1" applyAlignment="1">
      <alignment horizontal="left" vertical="center"/>
    </xf>
    <xf numFmtId="0" fontId="115" fillId="12" borderId="0" xfId="1" applyFont="1" applyFill="1" applyBorder="1" applyAlignment="1">
      <alignment horizontal="left" vertical="center"/>
    </xf>
    <xf numFmtId="0" fontId="69" fillId="12" borderId="0" xfId="1" applyFont="1" applyFill="1" applyBorder="1" applyAlignment="1">
      <alignment horizontal="center"/>
    </xf>
    <xf numFmtId="166" fontId="23" fillId="11" borderId="326" xfId="1" applyNumberFormat="1" applyFont="1" applyFill="1" applyBorder="1" applyAlignment="1">
      <alignment horizontal="center" vertical="center"/>
    </xf>
    <xf numFmtId="3" fontId="17" fillId="10" borderId="245" xfId="1" applyNumberFormat="1" applyFont="1" applyFill="1" applyBorder="1" applyAlignment="1">
      <alignment horizontal="center" vertical="center"/>
    </xf>
    <xf numFmtId="3" fontId="17" fillId="12" borderId="326" xfId="1" applyNumberFormat="1" applyFont="1" applyFill="1" applyBorder="1" applyAlignment="1">
      <alignment horizontal="center" vertical="center"/>
    </xf>
    <xf numFmtId="0" fontId="17" fillId="10" borderId="245" xfId="1" applyFont="1" applyFill="1" applyBorder="1" applyAlignment="1">
      <alignment horizontal="center" vertical="center"/>
    </xf>
    <xf numFmtId="0" fontId="35" fillId="10" borderId="246" xfId="1" applyFont="1" applyFill="1" applyBorder="1" applyAlignment="1">
      <alignment horizontal="center" vertical="center"/>
    </xf>
    <xf numFmtId="0" fontId="117" fillId="11" borderId="4" xfId="1" applyFont="1" applyFill="1" applyBorder="1" applyAlignment="1">
      <alignment horizontal="center"/>
    </xf>
    <xf numFmtId="0" fontId="59" fillId="11" borderId="4" xfId="1" applyFont="1" applyFill="1" applyBorder="1" applyAlignment="1">
      <alignment horizontal="center" vertical="center"/>
    </xf>
    <xf numFmtId="0" fontId="59" fillId="10" borderId="498" xfId="1" applyFont="1" applyFill="1" applyBorder="1" applyAlignment="1">
      <alignment horizontal="center"/>
    </xf>
    <xf numFmtId="0" fontId="17" fillId="10" borderId="497" xfId="1" applyFont="1" applyFill="1" applyBorder="1" applyAlignment="1">
      <alignment horizontal="center" vertical="center"/>
    </xf>
    <xf numFmtId="166" fontId="33" fillId="11" borderId="18" xfId="1" applyNumberFormat="1" applyFont="1" applyFill="1" applyBorder="1" applyAlignment="1">
      <alignment horizontal="center" vertical="center"/>
    </xf>
    <xf numFmtId="3" fontId="38" fillId="11" borderId="18" xfId="1" applyNumberFormat="1" applyFont="1" applyFill="1" applyBorder="1" applyAlignment="1">
      <alignment horizontal="center" vertical="center"/>
    </xf>
    <xf numFmtId="3" fontId="17" fillId="10" borderId="520" xfId="1" applyNumberFormat="1" applyFont="1" applyFill="1" applyBorder="1" applyAlignment="1">
      <alignment horizontal="center" vertical="center"/>
    </xf>
    <xf numFmtId="3" fontId="38" fillId="11" borderId="52" xfId="1" applyNumberFormat="1" applyFont="1" applyFill="1" applyBorder="1" applyAlignment="1">
      <alignment horizontal="center" vertical="center"/>
    </xf>
    <xf numFmtId="0" fontId="23" fillId="20" borderId="21" xfId="1" applyFont="1" applyFill="1" applyBorder="1" applyAlignment="1">
      <alignment horizontal="center" vertical="center"/>
    </xf>
    <xf numFmtId="0" fontId="43" fillId="29" borderId="17" xfId="1" applyFont="1" applyFill="1" applyBorder="1" applyAlignment="1">
      <alignment horizontal="center" vertical="center"/>
    </xf>
    <xf numFmtId="0" fontId="114" fillId="20" borderId="8" xfId="1" applyFont="1" applyFill="1" applyBorder="1" applyAlignment="1">
      <alignment horizontal="left" vertical="center"/>
    </xf>
    <xf numFmtId="0" fontId="115" fillId="29" borderId="0" xfId="15" applyFont="1" applyFill="1" applyBorder="1" applyAlignment="1">
      <alignment horizontal="left" vertical="center"/>
    </xf>
    <xf numFmtId="0" fontId="63" fillId="29" borderId="8" xfId="15" applyFont="1" applyFill="1" applyBorder="1" applyAlignment="1">
      <alignment horizontal="left" vertical="center"/>
    </xf>
    <xf numFmtId="0" fontId="73" fillId="28" borderId="8" xfId="1" applyFont="1" applyFill="1" applyBorder="1" applyAlignment="1">
      <alignment horizontal="left" vertical="center"/>
    </xf>
    <xf numFmtId="0" fontId="59" fillId="20" borderId="8" xfId="1" applyFont="1" applyFill="1" applyBorder="1" applyAlignment="1">
      <alignment horizontal="center"/>
    </xf>
    <xf numFmtId="0" fontId="46" fillId="29" borderId="8" xfId="1" applyFont="1" applyFill="1" applyBorder="1" applyAlignment="1">
      <alignment horizontal="center"/>
    </xf>
    <xf numFmtId="0" fontId="41" fillId="20" borderId="356" xfId="1" applyFont="1" applyFill="1" applyBorder="1" applyAlignment="1">
      <alignment horizontal="center" vertical="center"/>
    </xf>
    <xf numFmtId="3" fontId="39" fillId="20" borderId="514" xfId="1" applyNumberFormat="1" applyFont="1" applyFill="1" applyBorder="1" applyAlignment="1">
      <alignment horizontal="center" vertical="center"/>
    </xf>
    <xf numFmtId="3" fontId="17" fillId="31" borderId="514" xfId="1" applyNumberFormat="1" applyFont="1" applyFill="1" applyBorder="1" applyAlignment="1">
      <alignment horizontal="center" vertical="center"/>
    </xf>
    <xf numFmtId="3" fontId="17" fillId="32" borderId="509" xfId="1" applyNumberFormat="1" applyFont="1" applyFill="1" applyBorder="1" applyAlignment="1">
      <alignment horizontal="center" vertical="center"/>
    </xf>
    <xf numFmtId="3" fontId="39" fillId="31" borderId="514" xfId="1" applyNumberFormat="1" applyFont="1" applyFill="1" applyBorder="1" applyAlignment="1">
      <alignment horizontal="center" vertical="center"/>
    </xf>
    <xf numFmtId="3" fontId="39" fillId="32" borderId="509" xfId="1" applyNumberFormat="1" applyFont="1" applyFill="1" applyBorder="1" applyAlignment="1">
      <alignment horizontal="center" vertical="center"/>
    </xf>
    <xf numFmtId="3" fontId="39" fillId="28" borderId="426" xfId="1" applyNumberFormat="1" applyFont="1" applyFill="1" applyBorder="1" applyAlignment="1">
      <alignment horizontal="center" vertical="center"/>
    </xf>
    <xf numFmtId="3" fontId="17" fillId="8" borderId="326" xfId="1" applyNumberFormat="1" applyFont="1" applyFill="1" applyBorder="1" applyAlignment="1">
      <alignment horizontal="center" vertical="center"/>
    </xf>
    <xf numFmtId="3" fontId="38" fillId="0" borderId="426" xfId="1" applyNumberFormat="1" applyFont="1" applyFill="1" applyBorder="1" applyAlignment="1">
      <alignment horizontal="center" vertical="center"/>
    </xf>
    <xf numFmtId="3" fontId="38" fillId="20" borderId="514" xfId="1" applyNumberFormat="1" applyFont="1" applyFill="1" applyBorder="1" applyAlignment="1">
      <alignment horizontal="left" vertical="center"/>
    </xf>
    <xf numFmtId="3" fontId="38" fillId="44" borderId="509" xfId="1" applyNumberFormat="1" applyFont="1" applyFill="1" applyBorder="1" applyAlignment="1">
      <alignment horizontal="left" vertical="center"/>
    </xf>
    <xf numFmtId="3" fontId="38" fillId="32" borderId="509" xfId="1" applyNumberFormat="1" applyFont="1" applyFill="1" applyBorder="1" applyAlignment="1">
      <alignment horizontal="left" vertical="center"/>
    </xf>
    <xf numFmtId="3" fontId="38" fillId="28" borderId="426" xfId="1" applyNumberFormat="1" applyFont="1" applyFill="1" applyBorder="1" applyAlignment="1">
      <alignment horizontal="left" vertical="center"/>
    </xf>
    <xf numFmtId="3" fontId="38" fillId="20" borderId="514" xfId="1" applyNumberFormat="1" applyFont="1" applyFill="1" applyBorder="1" applyAlignment="1">
      <alignment horizontal="center" vertical="center"/>
    </xf>
    <xf numFmtId="3" fontId="150" fillId="28" borderId="514" xfId="1" applyNumberFormat="1" applyFont="1" applyFill="1" applyBorder="1" applyAlignment="1">
      <alignment horizontal="center" vertical="center"/>
    </xf>
    <xf numFmtId="3" fontId="150" fillId="44" borderId="509" xfId="1" applyNumberFormat="1" applyFont="1" applyFill="1" applyBorder="1" applyAlignment="1">
      <alignment horizontal="center" vertical="center"/>
    </xf>
    <xf numFmtId="3" fontId="38" fillId="32" borderId="509" xfId="1" applyNumberFormat="1" applyFont="1" applyFill="1" applyBorder="1" applyAlignment="1">
      <alignment horizontal="center" vertical="center"/>
    </xf>
    <xf numFmtId="3" fontId="38" fillId="28" borderId="426" xfId="1" applyNumberFormat="1" applyFont="1" applyFill="1" applyBorder="1" applyAlignment="1">
      <alignment horizontal="center" vertical="center"/>
    </xf>
    <xf numFmtId="3" fontId="17" fillId="44" borderId="509" xfId="1" applyNumberFormat="1" applyFont="1" applyFill="1" applyBorder="1" applyAlignment="1">
      <alignment horizontal="center" vertical="center"/>
    </xf>
    <xf numFmtId="0" fontId="17" fillId="20" borderId="514" xfId="1" applyFont="1" applyFill="1" applyBorder="1" applyAlignment="1">
      <alignment horizontal="center" vertical="center"/>
    </xf>
    <xf numFmtId="0" fontId="17" fillId="44" borderId="509" xfId="1" applyFont="1" applyFill="1" applyBorder="1" applyAlignment="1">
      <alignment horizontal="center" vertical="center"/>
    </xf>
    <xf numFmtId="0" fontId="17" fillId="32" borderId="509" xfId="1" applyFont="1" applyFill="1" applyBorder="1" applyAlignment="1">
      <alignment horizontal="center" vertical="center"/>
    </xf>
    <xf numFmtId="0" fontId="17" fillId="28" borderId="426" xfId="1" applyFont="1" applyFill="1" applyBorder="1" applyAlignment="1">
      <alignment horizontal="center" vertical="center"/>
    </xf>
    <xf numFmtId="172" fontId="33" fillId="20" borderId="514" xfId="1" applyNumberFormat="1" applyFont="1" applyFill="1" applyBorder="1" applyAlignment="1">
      <alignment horizontal="center" vertical="center"/>
    </xf>
    <xf numFmtId="172" fontId="38" fillId="44" borderId="509" xfId="1" applyNumberFormat="1" applyFont="1" applyFill="1" applyBorder="1" applyAlignment="1">
      <alignment horizontal="center" vertical="center"/>
    </xf>
    <xf numFmtId="172" fontId="17" fillId="28" borderId="514" xfId="1" applyNumberFormat="1" applyFont="1" applyFill="1" applyBorder="1" applyAlignment="1">
      <alignment horizontal="center" vertical="center"/>
    </xf>
    <xf numFmtId="172" fontId="38" fillId="32" borderId="509" xfId="1" applyNumberFormat="1" applyFont="1" applyFill="1" applyBorder="1" applyAlignment="1">
      <alignment horizontal="center" vertical="center"/>
    </xf>
    <xf numFmtId="172" fontId="38" fillId="28" borderId="426" xfId="1" applyNumberFormat="1" applyFont="1" applyFill="1" applyBorder="1" applyAlignment="1">
      <alignment horizontal="center" vertical="center"/>
    </xf>
    <xf numFmtId="14" fontId="38" fillId="20" borderId="514" xfId="1" applyNumberFormat="1" applyFont="1" applyFill="1" applyBorder="1" applyAlignment="1">
      <alignment horizontal="center" vertical="center"/>
    </xf>
    <xf numFmtId="14" fontId="38" fillId="44" borderId="509" xfId="1" applyNumberFormat="1" applyFont="1" applyFill="1" applyBorder="1" applyAlignment="1">
      <alignment horizontal="center" vertical="center"/>
    </xf>
    <xf numFmtId="14" fontId="38" fillId="32" borderId="509" xfId="1" applyNumberFormat="1" applyFont="1" applyFill="1" applyBorder="1" applyAlignment="1">
      <alignment horizontal="center" vertical="center"/>
    </xf>
    <xf numFmtId="14" fontId="38" fillId="28" borderId="426" xfId="1" applyNumberFormat="1" applyFont="1" applyFill="1" applyBorder="1" applyAlignment="1">
      <alignment horizontal="center" vertical="center"/>
    </xf>
    <xf numFmtId="2" fontId="38" fillId="3" borderId="518" xfId="1" applyNumberFormat="1" applyFont="1" applyFill="1" applyBorder="1" applyAlignment="1">
      <alignment horizontal="center" vertical="center"/>
    </xf>
    <xf numFmtId="3" fontId="150" fillId="29" borderId="509" xfId="1" applyNumberFormat="1" applyFont="1" applyFill="1" applyBorder="1" applyAlignment="1">
      <alignment horizontal="center" vertical="center"/>
    </xf>
    <xf numFmtId="3" fontId="74" fillId="11" borderId="64" xfId="1" applyNumberFormat="1" applyFont="1" applyFill="1" applyBorder="1" applyAlignment="1">
      <alignment horizontal="center" vertical="center"/>
    </xf>
    <xf numFmtId="3" fontId="38" fillId="11" borderId="508" xfId="1" applyNumberFormat="1" applyFont="1" applyFill="1" applyBorder="1" applyAlignment="1">
      <alignment horizontal="center" vertical="center"/>
    </xf>
    <xf numFmtId="0" fontId="48" fillId="0" borderId="464" xfId="1" applyFont="1" applyFill="1" applyBorder="1" applyAlignment="1">
      <alignment horizontal="left" vertical="center"/>
    </xf>
    <xf numFmtId="0" fontId="104" fillId="0" borderId="484" xfId="15" applyFont="1" applyFill="1" applyBorder="1" applyAlignment="1">
      <alignment horizontal="left" vertical="center"/>
    </xf>
    <xf numFmtId="0" fontId="82" fillId="0" borderId="477" xfId="15" applyFont="1" applyFill="1" applyBorder="1" applyAlignment="1">
      <alignment vertical="center"/>
    </xf>
    <xf numFmtId="0" fontId="64" fillId="0" borderId="535" xfId="0" applyFont="1" applyBorder="1" applyAlignment="1">
      <alignment vertical="center"/>
    </xf>
    <xf numFmtId="0" fontId="104" fillId="0" borderId="296" xfId="15" applyFont="1" applyFill="1" applyBorder="1" applyAlignment="1">
      <alignment horizontal="left" vertical="center"/>
    </xf>
    <xf numFmtId="49" fontId="63" fillId="4" borderId="491" xfId="1" quotePrefix="1" applyNumberFormat="1" applyFont="1" applyFill="1" applyBorder="1" applyAlignment="1">
      <alignment horizontal="center" vertical="center"/>
    </xf>
    <xf numFmtId="3" fontId="74" fillId="11" borderId="491" xfId="1" applyNumberFormat="1" applyFont="1" applyFill="1" applyBorder="1" applyAlignment="1">
      <alignment horizontal="center" vertical="center"/>
    </xf>
    <xf numFmtId="3" fontId="74" fillId="7" borderId="494" xfId="1" applyNumberFormat="1" applyFont="1" applyFill="1" applyBorder="1" applyAlignment="1">
      <alignment horizontal="center" vertical="center"/>
    </xf>
    <xf numFmtId="3" fontId="131" fillId="0" borderId="491" xfId="1" applyNumberFormat="1" applyFont="1" applyFill="1" applyBorder="1" applyAlignment="1">
      <alignment horizontal="center" vertical="center"/>
    </xf>
    <xf numFmtId="0" fontId="73" fillId="25" borderId="4" xfId="1" applyFont="1" applyFill="1" applyBorder="1" applyAlignment="1">
      <alignment horizontal="left" vertical="center"/>
    </xf>
    <xf numFmtId="3" fontId="38" fillId="8" borderId="470" xfId="1" applyNumberFormat="1" applyFont="1" applyFill="1" applyBorder="1" applyAlignment="1">
      <alignment horizontal="center" vertical="center"/>
    </xf>
    <xf numFmtId="3" fontId="150" fillId="25" borderId="482" xfId="1" applyNumberFormat="1" applyFont="1" applyFill="1" applyBorder="1" applyAlignment="1">
      <alignment horizontal="center" vertical="center"/>
    </xf>
    <xf numFmtId="3" fontId="17" fillId="27" borderId="520" xfId="1" applyNumberFormat="1" applyFont="1" applyFill="1" applyBorder="1" applyAlignment="1">
      <alignment horizontal="center" vertical="center"/>
    </xf>
    <xf numFmtId="14" fontId="38" fillId="25" borderId="64" xfId="1" quotePrefix="1" applyNumberFormat="1" applyFont="1" applyFill="1" applyBorder="1" applyAlignment="1">
      <alignment horizontal="center" vertical="center"/>
    </xf>
    <xf numFmtId="2" fontId="38" fillId="3" borderId="488" xfId="1" applyNumberFormat="1" applyFont="1" applyFill="1" applyBorder="1" applyAlignment="1">
      <alignment horizontal="center" vertical="center"/>
    </xf>
    <xf numFmtId="0" fontId="49" fillId="0" borderId="0" xfId="0" applyFont="1" applyBorder="1" applyAlignment="1">
      <alignment horizontal="left" vertical="center"/>
    </xf>
    <xf numFmtId="0" fontId="104" fillId="17" borderId="8" xfId="15" applyFont="1" applyFill="1" applyBorder="1" applyAlignment="1">
      <alignment horizontal="left" vertical="center"/>
    </xf>
    <xf numFmtId="0" fontId="63" fillId="4" borderId="0" xfId="15" applyFont="1" applyFill="1" applyBorder="1" applyAlignment="1">
      <alignment horizontal="left" vertical="center"/>
    </xf>
    <xf numFmtId="0" fontId="117" fillId="24" borderId="499" xfId="1" applyFont="1" applyFill="1" applyBorder="1" applyAlignment="1">
      <alignment horizontal="center"/>
    </xf>
    <xf numFmtId="3" fontId="39" fillId="4" borderId="300" xfId="1" applyNumberFormat="1" applyFont="1" applyFill="1" applyBorder="1" applyAlignment="1">
      <alignment horizontal="center" vertical="center"/>
    </xf>
    <xf numFmtId="3" fontId="17" fillId="0" borderId="18" xfId="1" applyNumberFormat="1" applyFont="1" applyFill="1" applyBorder="1" applyAlignment="1">
      <alignment horizontal="center"/>
    </xf>
    <xf numFmtId="3" fontId="38" fillId="5" borderId="367" xfId="1" applyNumberFormat="1" applyFont="1" applyFill="1" applyBorder="1" applyAlignment="1">
      <alignment horizontal="left" vertical="center"/>
    </xf>
    <xf numFmtId="3" fontId="17" fillId="24" borderId="368" xfId="1" applyNumberFormat="1" applyFont="1" applyFill="1" applyBorder="1" applyAlignment="1">
      <alignment horizontal="left" vertical="center"/>
    </xf>
    <xf numFmtId="3" fontId="38" fillId="24" borderId="428" xfId="1" applyNumberFormat="1" applyFont="1" applyFill="1" applyBorder="1" applyAlignment="1">
      <alignment horizontal="center" vertical="center"/>
    </xf>
    <xf numFmtId="0" fontId="17" fillId="5" borderId="367" xfId="1" applyFont="1" applyFill="1" applyBorder="1" applyAlignment="1">
      <alignment horizontal="center" vertical="center"/>
    </xf>
    <xf numFmtId="172" fontId="38" fillId="5" borderId="367" xfId="1" applyNumberFormat="1" applyFont="1" applyFill="1" applyBorder="1" applyAlignment="1">
      <alignment horizontal="center" vertical="center"/>
    </xf>
    <xf numFmtId="172" fontId="17" fillId="24" borderId="368" xfId="1" applyNumberFormat="1" applyFont="1" applyFill="1" applyBorder="1" applyAlignment="1">
      <alignment horizontal="center" vertical="center"/>
    </xf>
    <xf numFmtId="172" fontId="38" fillId="24" borderId="367" xfId="1" applyNumberFormat="1" applyFont="1" applyFill="1" applyBorder="1" applyAlignment="1">
      <alignment horizontal="center" vertical="center"/>
    </xf>
    <xf numFmtId="14" fontId="38" fillId="5" borderId="367" xfId="1" applyNumberFormat="1" applyFont="1" applyFill="1" applyBorder="1" applyAlignment="1">
      <alignment horizontal="center" vertical="center"/>
    </xf>
    <xf numFmtId="14" fontId="38" fillId="5" borderId="319" xfId="1" applyNumberFormat="1" applyFont="1" applyFill="1" applyBorder="1" applyAlignment="1">
      <alignment horizontal="center" vertical="center"/>
    </xf>
    <xf numFmtId="14" fontId="38" fillId="24" borderId="396" xfId="1" applyNumberFormat="1" applyFont="1" applyFill="1" applyBorder="1" applyAlignment="1">
      <alignment horizontal="center" vertical="center"/>
    </xf>
    <xf numFmtId="14" fontId="38" fillId="4" borderId="491" xfId="1" quotePrefix="1" applyNumberFormat="1" applyFont="1" applyFill="1" applyBorder="1" applyAlignment="1">
      <alignment horizontal="center" vertical="center"/>
    </xf>
    <xf numFmtId="0" fontId="63" fillId="4" borderId="8" xfId="15" applyFont="1" applyFill="1" applyBorder="1" applyAlignment="1">
      <alignment horizontal="left" vertical="center"/>
    </xf>
    <xf numFmtId="0" fontId="132" fillId="4" borderId="0" xfId="15" applyFont="1" applyFill="1" applyBorder="1" applyAlignment="1">
      <alignment horizontal="left" vertical="center"/>
    </xf>
    <xf numFmtId="0" fontId="73" fillId="56" borderId="8" xfId="1" applyFont="1" applyFill="1" applyBorder="1" applyAlignment="1">
      <alignment horizontal="left" vertical="center"/>
    </xf>
    <xf numFmtId="0" fontId="82" fillId="17" borderId="302" xfId="15" applyFont="1" applyFill="1" applyBorder="1" applyAlignment="1">
      <alignment horizontal="left" vertical="center"/>
    </xf>
    <xf numFmtId="0" fontId="82" fillId="17" borderId="483" xfId="15" applyFont="1" applyFill="1" applyBorder="1" applyAlignment="1">
      <alignment horizontal="left" vertical="center"/>
    </xf>
    <xf numFmtId="0" fontId="82" fillId="17" borderId="544" xfId="15" applyFont="1" applyFill="1" applyBorder="1" applyAlignment="1">
      <alignment horizontal="left" vertical="center"/>
    </xf>
    <xf numFmtId="0" fontId="136" fillId="0" borderId="464" xfId="15" applyFont="1" applyFill="1" applyBorder="1" applyAlignment="1">
      <alignment horizontal="left" vertical="center"/>
    </xf>
    <xf numFmtId="0" fontId="45" fillId="0" borderId="202" xfId="15" applyFont="1" applyFill="1" applyBorder="1" applyAlignment="1">
      <alignment horizontal="left" vertical="center"/>
    </xf>
    <xf numFmtId="0" fontId="45" fillId="0" borderId="464" xfId="15" applyFont="1" applyFill="1" applyBorder="1" applyAlignment="1">
      <alignment horizontal="left" vertical="center"/>
    </xf>
    <xf numFmtId="0" fontId="45" fillId="0" borderId="412" xfId="15" applyFont="1" applyFill="1" applyBorder="1" applyAlignment="1">
      <alignment horizontal="left" vertical="center"/>
    </xf>
    <xf numFmtId="0" fontId="45" fillId="0" borderId="465" xfId="15" applyFont="1" applyFill="1" applyBorder="1" applyAlignment="1">
      <alignment horizontal="left" vertical="center"/>
    </xf>
    <xf numFmtId="0" fontId="45" fillId="0" borderId="296" xfId="15" applyFont="1" applyFill="1" applyBorder="1" applyAlignment="1">
      <alignment horizontal="left" vertical="center"/>
    </xf>
    <xf numFmtId="0" fontId="45" fillId="0" borderId="461" xfId="15" applyFont="1" applyFill="1" applyBorder="1" applyAlignment="1">
      <alignment horizontal="left" vertical="center"/>
    </xf>
    <xf numFmtId="0" fontId="45" fillId="0" borderId="468" xfId="15" applyFont="1" applyFill="1" applyBorder="1" applyAlignment="1">
      <alignment horizontal="left" vertical="center"/>
    </xf>
    <xf numFmtId="0" fontId="45" fillId="0" borderId="302" xfId="15" applyFont="1" applyFill="1" applyBorder="1" applyAlignment="1">
      <alignment horizontal="left" vertical="center"/>
    </xf>
    <xf numFmtId="0" fontId="45" fillId="0" borderId="218" xfId="15" applyFont="1" applyFill="1" applyBorder="1" applyAlignment="1">
      <alignment horizontal="left" vertical="center"/>
    </xf>
    <xf numFmtId="0" fontId="45" fillId="0" borderId="544" xfId="15" applyFont="1" applyFill="1" applyBorder="1" applyAlignment="1">
      <alignment horizontal="left" vertical="center"/>
    </xf>
    <xf numFmtId="0" fontId="45" fillId="0" borderId="383" xfId="15" applyFont="1" applyFill="1" applyBorder="1" applyAlignment="1">
      <alignment horizontal="left" vertical="center"/>
    </xf>
    <xf numFmtId="0" fontId="45" fillId="0" borderId="535" xfId="15" applyFont="1" applyFill="1" applyBorder="1" applyAlignment="1">
      <alignment horizontal="left" vertical="center"/>
    </xf>
    <xf numFmtId="0" fontId="45" fillId="3" borderId="464" xfId="15" applyFont="1" applyFill="1" applyBorder="1" applyAlignment="1">
      <alignment horizontal="left" vertical="center"/>
    </xf>
    <xf numFmtId="0" fontId="45" fillId="0" borderId="484" xfId="15" applyFont="1" applyFill="1" applyBorder="1" applyAlignment="1">
      <alignment horizontal="left" vertical="center"/>
    </xf>
    <xf numFmtId="0" fontId="104" fillId="0" borderId="302" xfId="15" applyFont="1" applyFill="1" applyBorder="1" applyAlignment="1">
      <alignment horizontal="left" vertical="center"/>
    </xf>
    <xf numFmtId="0" fontId="45" fillId="0" borderId="540" xfId="15" applyFont="1" applyFill="1" applyBorder="1" applyAlignment="1">
      <alignment horizontal="left" vertical="center"/>
    </xf>
    <xf numFmtId="0" fontId="45" fillId="0" borderId="213" xfId="15" applyFont="1" applyFill="1" applyBorder="1" applyAlignment="1">
      <alignment horizontal="left" vertical="center"/>
    </xf>
    <xf numFmtId="0" fontId="104" fillId="56" borderId="383" xfId="15" applyFont="1" applyFill="1" applyBorder="1" applyAlignment="1">
      <alignment horizontal="left" vertical="center"/>
    </xf>
    <xf numFmtId="0" fontId="82" fillId="17" borderId="464" xfId="15" applyFont="1" applyFill="1" applyBorder="1" applyAlignment="1">
      <alignment horizontal="left" vertical="center"/>
    </xf>
    <xf numFmtId="0" fontId="82" fillId="17" borderId="404" xfId="15" applyFont="1" applyFill="1" applyBorder="1" applyAlignment="1">
      <alignment horizontal="left" vertical="center"/>
    </xf>
    <xf numFmtId="0" fontId="82" fillId="17" borderId="383" xfId="15" applyFont="1" applyFill="1" applyBorder="1" applyAlignment="1">
      <alignment horizontal="left" vertical="center"/>
    </xf>
    <xf numFmtId="0" fontId="82" fillId="56" borderId="5" xfId="15" applyFont="1" applyFill="1" applyBorder="1" applyAlignment="1">
      <alignment horizontal="left" vertical="center"/>
    </xf>
    <xf numFmtId="0" fontId="82" fillId="56" borderId="199" xfId="15" applyFont="1" applyFill="1" applyBorder="1" applyAlignment="1">
      <alignment horizontal="left" vertical="center"/>
    </xf>
    <xf numFmtId="0" fontId="104" fillId="56" borderId="404" xfId="15" applyFont="1" applyFill="1" applyBorder="1" applyAlignment="1">
      <alignment horizontal="left" vertical="center"/>
    </xf>
    <xf numFmtId="0" fontId="82" fillId="17" borderId="412" xfId="15" applyFont="1" applyFill="1" applyBorder="1" applyAlignment="1">
      <alignment horizontal="left" vertical="center"/>
    </xf>
    <xf numFmtId="0" fontId="82" fillId="17" borderId="149" xfId="15" applyFont="1" applyFill="1" applyBorder="1" applyAlignment="1">
      <alignment horizontal="left" vertical="center"/>
    </xf>
    <xf numFmtId="0" fontId="82" fillId="17" borderId="535" xfId="15" applyFont="1" applyFill="1" applyBorder="1" applyAlignment="1">
      <alignment horizontal="left" vertical="center"/>
    </xf>
    <xf numFmtId="0" fontId="104" fillId="56" borderId="199" xfId="15" applyFont="1" applyFill="1" applyBorder="1" applyAlignment="1">
      <alignment horizontal="left" vertical="center"/>
    </xf>
    <xf numFmtId="0" fontId="82" fillId="17" borderId="491" xfId="15" applyFont="1" applyFill="1" applyBorder="1" applyAlignment="1">
      <alignment horizontal="left" vertical="center"/>
    </xf>
    <xf numFmtId="0" fontId="82" fillId="56" borderId="404" xfId="15" applyFont="1" applyFill="1" applyBorder="1" applyAlignment="1">
      <alignment horizontal="left" vertical="center"/>
    </xf>
    <xf numFmtId="0" fontId="82" fillId="17" borderId="197" xfId="15" applyFont="1" applyFill="1" applyBorder="1" applyAlignment="1">
      <alignment horizontal="left" vertical="center"/>
    </xf>
    <xf numFmtId="0" fontId="82" fillId="17" borderId="484" xfId="15" applyFont="1" applyFill="1" applyBorder="1" applyAlignment="1">
      <alignment horizontal="left" vertical="center"/>
    </xf>
    <xf numFmtId="0" fontId="104" fillId="56" borderId="163" xfId="15" applyFont="1" applyFill="1" applyBorder="1" applyAlignment="1">
      <alignment horizontal="left" vertical="center"/>
    </xf>
    <xf numFmtId="0" fontId="104" fillId="56" borderId="149" xfId="15" applyFont="1" applyFill="1" applyBorder="1" applyAlignment="1">
      <alignment horizontal="left" vertical="center"/>
    </xf>
    <xf numFmtId="0" fontId="82" fillId="17" borderId="539" xfId="15" applyFont="1" applyFill="1" applyBorder="1" applyAlignment="1">
      <alignment horizontal="left" vertical="center"/>
    </xf>
    <xf numFmtId="0" fontId="82" fillId="17" borderId="468" xfId="15" applyFont="1" applyFill="1" applyBorder="1" applyAlignment="1">
      <alignment horizontal="left" vertical="center"/>
    </xf>
    <xf numFmtId="0" fontId="82" fillId="56" borderId="412" xfId="15" applyFont="1" applyFill="1" applyBorder="1" applyAlignment="1">
      <alignment horizontal="left" vertical="center"/>
    </xf>
    <xf numFmtId="0" fontId="104" fillId="56" borderId="59" xfId="15" applyFont="1" applyFill="1" applyBorder="1" applyAlignment="1">
      <alignment horizontal="left" vertical="center"/>
    </xf>
    <xf numFmtId="0" fontId="82" fillId="56" borderId="477" xfId="15" applyFont="1" applyFill="1" applyBorder="1" applyAlignment="1">
      <alignment horizontal="left" vertical="center"/>
    </xf>
    <xf numFmtId="0" fontId="82" fillId="17" borderId="202" xfId="15" applyFont="1" applyFill="1" applyBorder="1" applyAlignment="1">
      <alignment horizontal="left" vertical="center"/>
    </xf>
    <xf numFmtId="0" fontId="82" fillId="17" borderId="218" xfId="15" applyFont="1" applyFill="1" applyBorder="1" applyAlignment="1">
      <alignment horizontal="left" vertical="center"/>
    </xf>
    <xf numFmtId="0" fontId="82" fillId="56" borderId="59" xfId="15" applyFont="1" applyFill="1" applyBorder="1" applyAlignment="1">
      <alignment horizontal="left" vertical="center"/>
    </xf>
    <xf numFmtId="0" fontId="82" fillId="17" borderId="213" xfId="15" applyFont="1" applyFill="1" applyBorder="1" applyAlignment="1">
      <alignment horizontal="left" vertical="center"/>
    </xf>
    <xf numFmtId="0" fontId="104" fillId="56" borderId="464" xfId="15" applyFont="1" applyFill="1" applyBorder="1" applyAlignment="1">
      <alignment horizontal="left" vertical="center"/>
    </xf>
    <xf numFmtId="0" fontId="82" fillId="17" borderId="296" xfId="15" applyFont="1" applyFill="1" applyBorder="1" applyAlignment="1">
      <alignment horizontal="left" vertical="center"/>
    </xf>
    <xf numFmtId="0" fontId="104" fillId="56" borderId="202" xfId="15" applyFont="1" applyFill="1" applyBorder="1" applyAlignment="1">
      <alignment horizontal="left" vertical="center"/>
    </xf>
    <xf numFmtId="0" fontId="82" fillId="56" borderId="202" xfId="15" applyFont="1" applyFill="1" applyBorder="1" applyAlignment="1">
      <alignment horizontal="left" vertical="center"/>
    </xf>
    <xf numFmtId="0" fontId="82" fillId="56" borderId="149" xfId="15" applyFont="1" applyFill="1" applyBorder="1" applyAlignment="1">
      <alignment horizontal="left" vertical="center"/>
    </xf>
    <xf numFmtId="0" fontId="82" fillId="17" borderId="465" xfId="15" applyFont="1" applyFill="1" applyBorder="1" applyAlignment="1">
      <alignment vertical="center"/>
    </xf>
    <xf numFmtId="0" fontId="82" fillId="17" borderId="436" xfId="15" applyFont="1" applyFill="1" applyBorder="1" applyAlignment="1">
      <alignment vertical="center"/>
    </xf>
    <xf numFmtId="0" fontId="82" fillId="17" borderId="199" xfId="15" applyFont="1" applyFill="1" applyBorder="1" applyAlignment="1">
      <alignment vertical="center"/>
    </xf>
    <xf numFmtId="0" fontId="82" fillId="17" borderId="81" xfId="15" applyFont="1" applyFill="1" applyBorder="1" applyAlignment="1">
      <alignment horizontal="left" vertical="center"/>
    </xf>
    <xf numFmtId="0" fontId="104" fillId="56" borderId="118" xfId="15" applyFont="1" applyFill="1" applyBorder="1" applyAlignment="1">
      <alignment horizontal="left" vertical="center"/>
    </xf>
    <xf numFmtId="0" fontId="104" fillId="56" borderId="197" xfId="15" applyFont="1" applyFill="1" applyBorder="1" applyAlignment="1">
      <alignment horizontal="left" vertical="center"/>
    </xf>
    <xf numFmtId="0" fontId="82" fillId="56" borderId="218" xfId="15" applyFont="1" applyFill="1" applyBorder="1" applyAlignment="1">
      <alignment horizontal="left" vertical="center"/>
    </xf>
    <xf numFmtId="0" fontId="104" fillId="56" borderId="5" xfId="15" applyFont="1" applyFill="1" applyBorder="1" applyAlignment="1">
      <alignment horizontal="left" vertical="center"/>
    </xf>
    <xf numFmtId="0" fontId="104" fillId="56" borderId="465" xfId="15" applyFont="1" applyFill="1" applyBorder="1" applyAlignment="1">
      <alignment horizontal="left" vertical="center"/>
    </xf>
    <xf numFmtId="0" fontId="82" fillId="56" borderId="210" xfId="15" applyFont="1" applyFill="1" applyBorder="1" applyAlignment="1">
      <alignment horizontal="left" vertical="center"/>
    </xf>
    <xf numFmtId="0" fontId="82" fillId="56" borderId="197" xfId="15" applyFont="1" applyFill="1" applyBorder="1" applyAlignment="1">
      <alignment horizontal="left" vertical="center"/>
    </xf>
    <xf numFmtId="0" fontId="59" fillId="0" borderId="547" xfId="1" applyFont="1" applyFill="1" applyBorder="1" applyAlignment="1">
      <alignment horizontal="center" vertical="center"/>
    </xf>
    <xf numFmtId="3" fontId="45" fillId="0" borderId="549" xfId="1" applyNumberFormat="1" applyFont="1" applyFill="1" applyBorder="1" applyAlignment="1">
      <alignment horizontal="center" vertical="center"/>
    </xf>
    <xf numFmtId="0" fontId="82" fillId="17" borderId="201" xfId="15" applyFont="1" applyFill="1" applyBorder="1" applyAlignment="1">
      <alignment horizontal="left" vertical="center"/>
    </xf>
    <xf numFmtId="3" fontId="45" fillId="0" borderId="546" xfId="1" applyNumberFormat="1" applyFont="1" applyFill="1" applyBorder="1" applyAlignment="1">
      <alignment horizontal="center" vertical="center"/>
    </xf>
    <xf numFmtId="3" fontId="69" fillId="0" borderId="549" xfId="1" applyNumberFormat="1" applyFont="1" applyFill="1" applyBorder="1" applyAlignment="1">
      <alignment horizontal="center" vertical="center"/>
    </xf>
    <xf numFmtId="3" fontId="45" fillId="0" borderId="548" xfId="1" applyNumberFormat="1" applyFont="1" applyFill="1" applyBorder="1" applyAlignment="1">
      <alignment horizontal="center" vertical="center"/>
    </xf>
    <xf numFmtId="169" fontId="17" fillId="0" borderId="548" xfId="1" applyNumberFormat="1" applyFont="1" applyFill="1" applyBorder="1" applyAlignment="1">
      <alignment horizontal="right" vertical="center"/>
    </xf>
    <xf numFmtId="169" fontId="17" fillId="0" borderId="552" xfId="1" applyNumberFormat="1" applyFont="1" applyFill="1" applyBorder="1" applyAlignment="1">
      <alignment horizontal="right" vertical="center"/>
    </xf>
    <xf numFmtId="0" fontId="82" fillId="0" borderId="554" xfId="15" applyFont="1" applyFill="1" applyBorder="1" applyAlignment="1">
      <alignment horizontal="left" vertical="center"/>
    </xf>
    <xf numFmtId="3" fontId="45" fillId="0" borderId="545" xfId="1" applyNumberFormat="1" applyFont="1" applyFill="1" applyBorder="1" applyAlignment="1">
      <alignment horizontal="center" vertical="center"/>
    </xf>
    <xf numFmtId="3" fontId="45" fillId="0" borderId="550" xfId="1" applyNumberFormat="1" applyFont="1" applyFill="1" applyBorder="1" applyAlignment="1">
      <alignment horizontal="center" vertical="center"/>
    </xf>
    <xf numFmtId="3" fontId="45" fillId="0" borderId="551" xfId="1" applyNumberFormat="1" applyFont="1" applyFill="1" applyBorder="1" applyAlignment="1">
      <alignment horizontal="center" vertical="center"/>
    </xf>
    <xf numFmtId="3" fontId="45" fillId="0" borderId="553" xfId="1" applyNumberFormat="1" applyFont="1" applyFill="1" applyBorder="1" applyAlignment="1">
      <alignment horizontal="center" vertical="center"/>
    </xf>
    <xf numFmtId="0" fontId="59" fillId="0" borderId="557" xfId="1" applyFont="1" applyFill="1" applyBorder="1" applyAlignment="1">
      <alignment horizontal="center" vertical="center"/>
    </xf>
    <xf numFmtId="3" fontId="17" fillId="4" borderId="0" xfId="1" quotePrefix="1" applyNumberFormat="1" applyFont="1" applyFill="1" applyBorder="1" applyAlignment="1">
      <alignment horizontal="center" vertical="center"/>
    </xf>
    <xf numFmtId="3" fontId="45" fillId="0" borderId="556" xfId="1" applyNumberFormat="1" applyFont="1" applyFill="1" applyBorder="1" applyAlignment="1">
      <alignment horizontal="center" vertical="center"/>
    </xf>
    <xf numFmtId="0" fontId="49" fillId="0" borderId="0" xfId="0" applyFont="1" applyBorder="1" applyAlignment="1">
      <alignment horizontal="left" vertical="center"/>
    </xf>
    <xf numFmtId="0" fontId="82" fillId="0" borderId="551" xfId="15" applyFont="1" applyFill="1" applyBorder="1" applyAlignment="1">
      <alignment horizontal="left" vertical="center"/>
    </xf>
    <xf numFmtId="0" fontId="82" fillId="17" borderId="59" xfId="15" applyFont="1" applyFill="1" applyBorder="1" applyAlignment="1">
      <alignment vertical="center"/>
    </xf>
    <xf numFmtId="0" fontId="82" fillId="17" borderId="551" xfId="15" applyFont="1" applyFill="1" applyBorder="1" applyAlignment="1">
      <alignment horizontal="left" vertical="center"/>
    </xf>
    <xf numFmtId="0" fontId="82" fillId="0" borderId="141" xfId="15" applyFont="1" applyFill="1" applyBorder="1" applyAlignment="1">
      <alignment horizontal="left" vertical="center"/>
    </xf>
    <xf numFmtId="0" fontId="46" fillId="0" borderId="487" xfId="1" applyFont="1" applyFill="1" applyBorder="1" applyAlignment="1">
      <alignment horizontal="left" vertical="center"/>
    </xf>
    <xf numFmtId="0" fontId="46" fillId="0" borderId="547" xfId="1" applyFont="1" applyFill="1" applyBorder="1" applyAlignment="1">
      <alignment horizontal="left" vertical="center"/>
    </xf>
    <xf numFmtId="0" fontId="45" fillId="0" borderId="551" xfId="15" applyFont="1" applyFill="1" applyBorder="1" applyAlignment="1">
      <alignment horizontal="left" vertical="center"/>
    </xf>
    <xf numFmtId="0" fontId="82" fillId="11" borderId="432" xfId="15" applyFont="1" applyFill="1" applyBorder="1" applyAlignment="1">
      <alignment horizontal="left" vertical="center"/>
    </xf>
    <xf numFmtId="0" fontId="46" fillId="0" borderId="555" xfId="1" applyFont="1" applyFill="1" applyBorder="1" applyAlignment="1">
      <alignment horizontal="center"/>
    </xf>
    <xf numFmtId="0" fontId="59" fillId="0" borderId="507" xfId="1" applyFont="1" applyFill="1" applyBorder="1" applyAlignment="1">
      <alignment horizontal="center" vertical="center"/>
    </xf>
    <xf numFmtId="0" fontId="82" fillId="11" borderId="5" xfId="15" applyFont="1" applyFill="1" applyBorder="1" applyAlignment="1">
      <alignment horizontal="left" vertical="center"/>
    </xf>
    <xf numFmtId="0" fontId="69" fillId="0" borderId="464" xfId="1" applyFont="1" applyFill="1" applyBorder="1" applyAlignment="1">
      <alignment horizontal="left" vertical="center"/>
    </xf>
    <xf numFmtId="0" fontId="82" fillId="17" borderId="126" xfId="15" applyFont="1" applyFill="1" applyBorder="1" applyAlignment="1">
      <alignment horizontal="left" vertical="center"/>
    </xf>
    <xf numFmtId="0" fontId="45" fillId="0" borderId="547" xfId="1" applyFont="1" applyFill="1" applyBorder="1" applyAlignment="1">
      <alignment vertical="center"/>
    </xf>
    <xf numFmtId="0" fontId="45" fillId="0" borderId="487" xfId="1" applyFont="1" applyFill="1" applyBorder="1" applyAlignment="1">
      <alignment vertical="center"/>
    </xf>
    <xf numFmtId="169" fontId="17" fillId="3" borderId="86" xfId="1" applyNumberFormat="1" applyFont="1" applyFill="1" applyBorder="1" applyAlignment="1">
      <alignment horizontal="right" vertical="center"/>
    </xf>
    <xf numFmtId="0" fontId="46" fillId="0" borderId="487" xfId="1" applyFont="1" applyFill="1" applyBorder="1" applyAlignment="1">
      <alignment vertical="center"/>
    </xf>
    <xf numFmtId="169" fontId="17" fillId="3" borderId="6" xfId="1" applyNumberFormat="1" applyFont="1" applyFill="1" applyBorder="1" applyAlignment="1">
      <alignment vertical="center"/>
    </xf>
    <xf numFmtId="0" fontId="46" fillId="0" borderId="547" xfId="1" applyFont="1" applyFill="1" applyBorder="1" applyAlignment="1">
      <alignment horizontal="center"/>
    </xf>
    <xf numFmtId="0" fontId="45" fillId="0" borderId="532" xfId="1" applyFont="1" applyFill="1" applyBorder="1" applyAlignment="1">
      <alignment vertical="center"/>
    </xf>
    <xf numFmtId="169" fontId="17" fillId="3" borderId="194" xfId="1" applyNumberFormat="1" applyFont="1" applyFill="1" applyBorder="1" applyAlignment="1">
      <alignment vertical="center"/>
    </xf>
    <xf numFmtId="169" fontId="17" fillId="0" borderId="382" xfId="1" applyNumberFormat="1" applyFont="1" applyFill="1" applyBorder="1" applyAlignment="1">
      <alignment vertical="center"/>
    </xf>
    <xf numFmtId="3" fontId="58" fillId="3" borderId="195" xfId="1" applyNumberFormat="1" applyFont="1" applyFill="1" applyBorder="1" applyAlignment="1">
      <alignment horizontal="center" vertical="center"/>
    </xf>
    <xf numFmtId="0" fontId="82" fillId="56" borderId="383" xfId="15" applyFont="1" applyFill="1" applyBorder="1" applyAlignment="1">
      <alignment horizontal="left" vertical="center"/>
    </xf>
    <xf numFmtId="0" fontId="59" fillId="3" borderId="196" xfId="1" applyFont="1" applyFill="1" applyBorder="1" applyAlignment="1">
      <alignment horizontal="center" vertical="center"/>
    </xf>
    <xf numFmtId="169" fontId="17" fillId="3" borderId="194" xfId="1" applyNumberFormat="1" applyFont="1" applyFill="1" applyBorder="1" applyAlignment="1">
      <alignment horizontal="right" vertical="center"/>
    </xf>
    <xf numFmtId="0" fontId="82" fillId="0" borderId="551" xfId="15" applyFont="1" applyFill="1" applyBorder="1" applyAlignment="1">
      <alignment vertical="center"/>
    </xf>
    <xf numFmtId="169" fontId="17" fillId="3" borderId="45" xfId="1" applyNumberFormat="1" applyFont="1" applyFill="1" applyBorder="1" applyAlignment="1">
      <alignment horizontal="right" vertical="center"/>
    </xf>
    <xf numFmtId="0" fontId="45" fillId="0" borderId="547" xfId="1" applyFont="1" applyFill="1" applyBorder="1" applyAlignment="1">
      <alignment horizontal="center" vertical="center"/>
    </xf>
    <xf numFmtId="0" fontId="46" fillId="0" borderId="6" xfId="1" applyFont="1" applyFill="1" applyBorder="1" applyAlignment="1">
      <alignment horizontal="left" vertical="center"/>
    </xf>
    <xf numFmtId="169" fontId="17" fillId="0" borderId="42" xfId="1" applyNumberFormat="1" applyFont="1" applyFill="1" applyBorder="1" applyAlignment="1">
      <alignment vertical="center"/>
    </xf>
    <xf numFmtId="0" fontId="133" fillId="0" borderId="464" xfId="15" applyFont="1" applyFill="1" applyBorder="1" applyAlignment="1">
      <alignment horizontal="left" vertical="center"/>
    </xf>
    <xf numFmtId="3" fontId="58" fillId="3" borderId="53" xfId="1" applyNumberFormat="1" applyFont="1" applyFill="1" applyBorder="1" applyAlignment="1">
      <alignment horizontal="center" vertical="center"/>
    </xf>
    <xf numFmtId="0" fontId="46" fillId="0" borderId="435" xfId="1" applyFont="1" applyFill="1" applyBorder="1" applyAlignment="1">
      <alignment horizontal="left" vertical="center"/>
    </xf>
    <xf numFmtId="0" fontId="45" fillId="0" borderId="205" xfId="1" applyFont="1" applyFill="1" applyBorder="1" applyAlignment="1">
      <alignment horizontal="center" vertical="center"/>
    </xf>
    <xf numFmtId="169" fontId="17" fillId="3" borderId="204" xfId="1" applyNumberFormat="1" applyFont="1" applyFill="1" applyBorder="1" applyAlignment="1">
      <alignment horizontal="right" vertical="center"/>
    </xf>
    <xf numFmtId="169" fontId="17" fillId="0" borderId="459" xfId="1" applyNumberFormat="1" applyFont="1" applyFill="1" applyBorder="1" applyAlignment="1">
      <alignment vertical="center"/>
    </xf>
    <xf numFmtId="169" fontId="17" fillId="0" borderId="466" xfId="1" applyNumberFormat="1" applyFont="1" applyFill="1" applyBorder="1" applyAlignment="1">
      <alignment horizontal="right" vertical="center"/>
    </xf>
    <xf numFmtId="169" fontId="17" fillId="0" borderId="127" xfId="1" applyNumberFormat="1" applyFont="1" applyFill="1" applyBorder="1" applyAlignment="1">
      <alignment vertical="center"/>
    </xf>
    <xf numFmtId="3" fontId="58" fillId="3" borderId="207" xfId="1" applyNumberFormat="1" applyFont="1" applyFill="1" applyBorder="1" applyAlignment="1">
      <alignment horizontal="center" vertical="center"/>
    </xf>
    <xf numFmtId="3" fontId="45" fillId="0" borderId="547" xfId="1" applyNumberFormat="1" applyFont="1" applyFill="1" applyBorder="1" applyAlignment="1">
      <alignment horizontal="left" vertical="center"/>
    </xf>
    <xf numFmtId="0" fontId="59" fillId="0" borderId="498" xfId="1" applyFont="1" applyFill="1" applyBorder="1" applyAlignment="1">
      <alignment horizontal="center" vertical="center"/>
    </xf>
    <xf numFmtId="3" fontId="58" fillId="3" borderId="54" xfId="1" applyNumberFormat="1" applyFont="1" applyFill="1" applyBorder="1" applyAlignment="1">
      <alignment horizontal="center" vertical="center"/>
    </xf>
    <xf numFmtId="0" fontId="82" fillId="56" borderId="163" xfId="15" applyFont="1" applyFill="1" applyBorder="1" applyAlignment="1">
      <alignment horizontal="left" vertical="center"/>
    </xf>
    <xf numFmtId="0" fontId="46" fillId="0" borderId="481" xfId="1" applyFont="1" applyFill="1" applyBorder="1" applyAlignment="1">
      <alignment vertical="center"/>
    </xf>
    <xf numFmtId="169" fontId="38" fillId="0" borderId="542" xfId="1" applyNumberFormat="1" applyFont="1" applyFill="1" applyBorder="1" applyAlignment="1">
      <alignment horizontal="right" vertical="center"/>
    </xf>
    <xf numFmtId="0" fontId="48" fillId="0" borderId="199" xfId="1" applyFont="1" applyFill="1" applyBorder="1" applyAlignment="1">
      <alignment horizontal="left" vertical="center"/>
    </xf>
    <xf numFmtId="0" fontId="86" fillId="0" borderId="547" xfId="1" applyFont="1" applyFill="1" applyBorder="1" applyAlignment="1">
      <alignment horizontal="left" vertical="center"/>
    </xf>
    <xf numFmtId="3" fontId="46" fillId="0" borderId="549" xfId="1" applyNumberFormat="1" applyFont="1" applyFill="1" applyBorder="1" applyAlignment="1">
      <alignment horizontal="center" vertical="center"/>
    </xf>
    <xf numFmtId="0" fontId="82" fillId="0" borderId="535" xfId="15" applyFont="1" applyFill="1" applyBorder="1" applyAlignment="1">
      <alignment vertical="center"/>
    </xf>
    <xf numFmtId="0" fontId="45" fillId="0" borderId="474" xfId="1" applyFont="1" applyFill="1" applyBorder="1" applyAlignment="1">
      <alignment horizontal="left" vertical="center"/>
    </xf>
    <xf numFmtId="0" fontId="82" fillId="0" borderId="535" xfId="15" applyFont="1" applyBorder="1" applyAlignment="1">
      <alignment vertical="center"/>
    </xf>
    <xf numFmtId="0" fontId="48" fillId="0" borderId="487" xfId="1" applyFont="1" applyFill="1" applyBorder="1" applyAlignment="1">
      <alignment vertical="center"/>
    </xf>
    <xf numFmtId="0" fontId="45" fillId="0" borderId="480" xfId="1" applyFont="1" applyFill="1" applyBorder="1" applyAlignment="1">
      <alignment horizontal="left" vertical="center"/>
    </xf>
    <xf numFmtId="0" fontId="64" fillId="2" borderId="197" xfId="0" applyFont="1" applyFill="1" applyBorder="1" applyAlignment="1">
      <alignment vertical="center"/>
    </xf>
    <xf numFmtId="0" fontId="82" fillId="0" borderId="539" xfId="15" applyFont="1" applyFill="1" applyBorder="1" applyAlignment="1">
      <alignment vertical="center"/>
    </xf>
    <xf numFmtId="0" fontId="64" fillId="0" borderId="412" xfId="0" applyFont="1" applyBorder="1" applyAlignment="1">
      <alignment vertical="center"/>
    </xf>
    <xf numFmtId="3" fontId="69" fillId="0" borderId="546" xfId="1" applyNumberFormat="1" applyFont="1" applyFill="1" applyBorder="1" applyAlignment="1">
      <alignment horizontal="center" vertical="center"/>
    </xf>
    <xf numFmtId="0" fontId="83" fillId="0" borderId="461" xfId="15" applyFont="1" applyFill="1" applyBorder="1" applyAlignment="1">
      <alignment horizontal="left" vertical="center"/>
    </xf>
    <xf numFmtId="0" fontId="104" fillId="56" borderId="236" xfId="15" applyFont="1" applyFill="1" applyBorder="1" applyAlignment="1">
      <alignment horizontal="left" vertical="center"/>
    </xf>
    <xf numFmtId="0" fontId="86" fillId="0" borderId="6" xfId="1" applyFont="1" applyFill="1" applyBorder="1" applyAlignment="1">
      <alignment horizontal="left" vertical="center"/>
    </xf>
    <xf numFmtId="0" fontId="45" fillId="0" borderId="59" xfId="0" applyFont="1" applyBorder="1" applyAlignment="1">
      <alignment vertical="center"/>
    </xf>
    <xf numFmtId="0" fontId="87" fillId="0" borderId="473" xfId="1" applyFont="1" applyFill="1" applyBorder="1" applyAlignment="1">
      <alignment horizontal="left" vertical="center"/>
    </xf>
    <xf numFmtId="0" fontId="87" fillId="0" borderId="406" xfId="1" applyFont="1" applyFill="1" applyBorder="1" applyAlignment="1">
      <alignment horizontal="left" vertical="center"/>
    </xf>
    <xf numFmtId="0" fontId="82" fillId="17" borderId="236" xfId="15" applyFont="1" applyFill="1" applyBorder="1" applyAlignment="1">
      <alignment horizontal="left" vertical="center"/>
    </xf>
    <xf numFmtId="0" fontId="46" fillId="0" borderId="547" xfId="1" applyFont="1" applyFill="1" applyBorder="1" applyAlignment="1">
      <alignment horizontal="center" vertical="center"/>
    </xf>
    <xf numFmtId="0" fontId="133" fillId="0" borderId="404" xfId="15" applyFont="1" applyFill="1" applyBorder="1" applyAlignment="1">
      <alignment horizontal="left" vertical="center"/>
    </xf>
    <xf numFmtId="0" fontId="46" fillId="3" borderId="38" xfId="1" applyFont="1" applyFill="1" applyBorder="1" applyAlignment="1">
      <alignment horizontal="center" vertical="center"/>
    </xf>
    <xf numFmtId="169" fontId="17" fillId="0" borderId="545" xfId="1" applyNumberFormat="1" applyFont="1" applyFill="1" applyBorder="1" applyAlignment="1">
      <alignment horizontal="right" vertical="center"/>
    </xf>
    <xf numFmtId="169" fontId="17" fillId="0" borderId="556" xfId="1" applyNumberFormat="1" applyFont="1" applyFill="1" applyBorder="1" applyAlignment="1">
      <alignment horizontal="right" vertical="center"/>
    </xf>
    <xf numFmtId="0" fontId="45" fillId="0" borderId="487" xfId="1" applyFont="1" applyFill="1" applyBorder="1" applyAlignment="1">
      <alignment horizontal="center" vertical="center"/>
    </xf>
    <xf numFmtId="0" fontId="82" fillId="17" borderId="225" xfId="15" applyFont="1" applyFill="1" applyBorder="1" applyAlignment="1">
      <alignment horizontal="left" vertical="center"/>
    </xf>
    <xf numFmtId="0" fontId="83" fillId="0" borderId="464" xfId="15" applyFont="1" applyFill="1" applyBorder="1" applyAlignment="1">
      <alignment horizontal="left" vertical="center"/>
    </xf>
    <xf numFmtId="0" fontId="46" fillId="0" borderId="62" xfId="1" applyFont="1" applyFill="1" applyBorder="1" applyAlignment="1">
      <alignment horizontal="center" vertical="center"/>
    </xf>
    <xf numFmtId="0" fontId="49" fillId="0" borderId="0" xfId="0" applyFont="1" applyBorder="1" applyAlignment="1">
      <alignment horizontal="left" vertical="center"/>
    </xf>
    <xf numFmtId="0" fontId="83" fillId="0" borderId="59" xfId="15" applyFont="1" applyFill="1" applyBorder="1" applyAlignment="1">
      <alignment horizontal="left" vertical="center"/>
    </xf>
    <xf numFmtId="0" fontId="82" fillId="17" borderId="141" xfId="15" applyFont="1" applyFill="1" applyBorder="1" applyAlignment="1">
      <alignment horizontal="left" vertical="center"/>
    </xf>
    <xf numFmtId="0" fontId="82" fillId="0" borderId="90" xfId="15" applyFont="1" applyFill="1" applyBorder="1" applyAlignment="1">
      <alignment vertical="center"/>
    </xf>
    <xf numFmtId="0" fontId="46" fillId="0" borderId="62" xfId="1" applyFont="1" applyFill="1" applyBorder="1" applyAlignment="1">
      <alignment horizontal="left" vertical="center"/>
    </xf>
    <xf numFmtId="0" fontId="46" fillId="0" borderId="362" xfId="1" applyFont="1" applyFill="1" applyBorder="1" applyAlignment="1">
      <alignment horizontal="left" vertical="center"/>
    </xf>
    <xf numFmtId="0" fontId="46" fillId="0" borderId="143" xfId="1" applyFont="1" applyFill="1" applyBorder="1" applyAlignment="1">
      <alignment horizontal="center" vertical="center"/>
    </xf>
    <xf numFmtId="0" fontId="133" fillId="0" borderId="163" xfId="15" applyFont="1" applyFill="1" applyBorder="1" applyAlignment="1">
      <alignment horizontal="left" vertical="center"/>
    </xf>
    <xf numFmtId="0" fontId="82" fillId="17" borderId="295" xfId="15" applyFont="1" applyFill="1" applyBorder="1" applyAlignment="1">
      <alignment horizontal="left" vertical="center"/>
    </xf>
    <xf numFmtId="0" fontId="82" fillId="0" borderId="118" xfId="15" applyFont="1" applyFill="1" applyBorder="1"/>
    <xf numFmtId="0" fontId="69" fillId="0" borderId="165" xfId="1" applyFont="1" applyFill="1" applyBorder="1" applyAlignment="1">
      <alignment horizontal="center" vertical="center"/>
    </xf>
    <xf numFmtId="0" fontId="82" fillId="11" borderId="414" xfId="15" applyFont="1" applyFill="1" applyBorder="1" applyAlignment="1">
      <alignment horizontal="left" vertical="center"/>
    </xf>
    <xf numFmtId="0" fontId="82" fillId="57" borderId="5" xfId="15" applyFont="1" applyFill="1" applyBorder="1" applyAlignment="1">
      <alignment horizontal="left" vertical="center"/>
    </xf>
    <xf numFmtId="0" fontId="82" fillId="0" borderId="197" xfId="15" applyFont="1" applyBorder="1"/>
    <xf numFmtId="0" fontId="83" fillId="0" borderId="163" xfId="15" applyFont="1" applyFill="1" applyBorder="1" applyAlignment="1">
      <alignment horizontal="left" vertical="center"/>
    </xf>
    <xf numFmtId="0" fontId="46" fillId="0" borderId="435" xfId="1" applyFont="1" applyFill="1" applyBorder="1" applyAlignment="1">
      <alignment horizontal="center" vertical="center"/>
    </xf>
    <xf numFmtId="0" fontId="69" fillId="0" borderId="486" xfId="1" applyFont="1" applyFill="1" applyBorder="1" applyAlignment="1">
      <alignment horizontal="center" vertical="center"/>
    </xf>
    <xf numFmtId="0" fontId="46" fillId="0" borderId="110" xfId="1" applyFont="1" applyFill="1" applyBorder="1" applyAlignment="1">
      <alignment horizontal="center"/>
    </xf>
    <xf numFmtId="0" fontId="41" fillId="0" borderId="61" xfId="1" applyFont="1" applyFill="1" applyBorder="1" applyAlignment="1">
      <alignment horizontal="center"/>
    </xf>
    <xf numFmtId="0" fontId="38" fillId="0" borderId="362" xfId="1" applyFont="1" applyFill="1" applyBorder="1" applyAlignment="1">
      <alignment horizontal="center" vertical="center"/>
    </xf>
    <xf numFmtId="0" fontId="23" fillId="25" borderId="0" xfId="1" applyFont="1" applyFill="1" applyBorder="1" applyAlignment="1">
      <alignment horizontal="center" vertical="center"/>
    </xf>
    <xf numFmtId="0" fontId="23" fillId="4" borderId="471" xfId="1" applyFont="1" applyFill="1" applyBorder="1" applyAlignment="1">
      <alignment horizontal="center" vertical="center"/>
    </xf>
    <xf numFmtId="0" fontId="73" fillId="35" borderId="8" xfId="1" applyFont="1" applyFill="1" applyBorder="1" applyAlignment="1">
      <alignment horizontal="left" vertical="center"/>
    </xf>
    <xf numFmtId="0" fontId="104" fillId="4" borderId="337" xfId="15" applyFont="1" applyFill="1" applyBorder="1" applyAlignment="1">
      <alignment horizontal="left" vertical="center"/>
    </xf>
    <xf numFmtId="0" fontId="112" fillId="4" borderId="4" xfId="15" applyFont="1" applyFill="1" applyBorder="1" applyAlignment="1">
      <alignment horizontal="left" vertical="center"/>
    </xf>
    <xf numFmtId="0" fontId="59" fillId="24" borderId="472" xfId="1" applyFont="1" applyFill="1" applyBorder="1" applyAlignment="1">
      <alignment horizontal="center" vertical="center"/>
    </xf>
    <xf numFmtId="3" fontId="41" fillId="35" borderId="0" xfId="1" applyNumberFormat="1" applyFont="1" applyFill="1" applyBorder="1" applyAlignment="1">
      <alignment horizontal="center" vertical="center"/>
    </xf>
    <xf numFmtId="3" fontId="39" fillId="24" borderId="357" xfId="1" applyNumberFormat="1" applyFont="1" applyFill="1" applyBorder="1" applyAlignment="1">
      <alignment horizontal="center" vertical="center"/>
    </xf>
    <xf numFmtId="3" fontId="17" fillId="4" borderId="332" xfId="1" applyNumberFormat="1" applyFont="1" applyFill="1" applyBorder="1" applyAlignment="1">
      <alignment horizontal="center" vertical="center"/>
    </xf>
    <xf numFmtId="3" fontId="39" fillId="4" borderId="420" xfId="1" applyNumberFormat="1" applyFont="1" applyFill="1" applyBorder="1" applyAlignment="1">
      <alignment horizontal="center" vertical="center"/>
    </xf>
    <xf numFmtId="3" fontId="17" fillId="0" borderId="0" xfId="1" applyNumberFormat="1" applyFont="1" applyFill="1" applyBorder="1" applyAlignment="1">
      <alignment horizontal="center"/>
    </xf>
    <xf numFmtId="3" fontId="38" fillId="24" borderId="243" xfId="1" applyNumberFormat="1" applyFont="1" applyFill="1" applyBorder="1" applyAlignment="1">
      <alignment horizontal="center" vertical="center"/>
    </xf>
    <xf numFmtId="172" fontId="17" fillId="24" borderId="367" xfId="1" applyNumberFormat="1" applyFont="1" applyFill="1" applyBorder="1" applyAlignment="1">
      <alignment horizontal="center" vertical="center"/>
    </xf>
    <xf numFmtId="14" fontId="38" fillId="4" borderId="325" xfId="1" quotePrefix="1" applyNumberFormat="1" applyFont="1" applyFill="1" applyBorder="1" applyAlignment="1">
      <alignment horizontal="center" vertical="center"/>
    </xf>
    <xf numFmtId="14" fontId="38" fillId="4" borderId="386" xfId="1" quotePrefix="1" applyNumberFormat="1" applyFont="1" applyFill="1" applyBorder="1" applyAlignment="1">
      <alignment horizontal="center" vertical="center"/>
    </xf>
    <xf numFmtId="0" fontId="43" fillId="24" borderId="32" xfId="1" applyFont="1" applyFill="1" applyBorder="1" applyAlignment="1">
      <alignment horizontal="center" vertical="center"/>
    </xf>
    <xf numFmtId="0" fontId="23" fillId="25" borderId="32" xfId="1" applyFont="1" applyFill="1" applyBorder="1" applyAlignment="1">
      <alignment horizontal="center" vertical="center"/>
    </xf>
    <xf numFmtId="0" fontId="104" fillId="4" borderId="4" xfId="15" applyFont="1" applyFill="1" applyBorder="1" applyAlignment="1">
      <alignment vertical="center"/>
    </xf>
    <xf numFmtId="173" fontId="37" fillId="4" borderId="178" xfId="1" applyNumberFormat="1" applyFont="1" applyFill="1" applyBorder="1" applyAlignment="1">
      <alignment horizontal="center" vertical="center"/>
    </xf>
    <xf numFmtId="3" fontId="38" fillId="0" borderId="300" xfId="1" applyNumberFormat="1" applyFont="1" applyFill="1" applyBorder="1" applyAlignment="1">
      <alignment horizontal="center" vertical="center"/>
    </xf>
    <xf numFmtId="3" fontId="38" fillId="4" borderId="386" xfId="1" applyNumberFormat="1" applyFont="1" applyFill="1" applyBorder="1" applyAlignment="1">
      <alignment horizontal="center" vertical="center"/>
    </xf>
    <xf numFmtId="3" fontId="17" fillId="28" borderId="556" xfId="1" applyNumberFormat="1" applyFont="1" applyFill="1" applyBorder="1" applyAlignment="1">
      <alignment horizontal="center" vertical="center"/>
    </xf>
    <xf numFmtId="3" fontId="39" fillId="28" borderId="556" xfId="1" applyNumberFormat="1" applyFont="1" applyFill="1" applyBorder="1" applyAlignment="1">
      <alignment horizontal="center" vertical="center"/>
    </xf>
    <xf numFmtId="3" fontId="38" fillId="0" borderId="556" xfId="1" applyNumberFormat="1" applyFont="1" applyFill="1" applyBorder="1" applyAlignment="1">
      <alignment horizontal="center" vertical="center"/>
    </xf>
    <xf numFmtId="3" fontId="17" fillId="0" borderId="556" xfId="1" applyNumberFormat="1" applyFont="1" applyFill="1" applyBorder="1" applyAlignment="1">
      <alignment horizontal="center" vertical="center"/>
    </xf>
    <xf numFmtId="3" fontId="38" fillId="28" borderId="556" xfId="1" applyNumberFormat="1" applyFont="1" applyFill="1" applyBorder="1" applyAlignment="1">
      <alignment horizontal="left" vertical="center"/>
    </xf>
    <xf numFmtId="0" fontId="17" fillId="28" borderId="556" xfId="1" applyFont="1" applyFill="1" applyBorder="1" applyAlignment="1">
      <alignment horizontal="center" vertical="center"/>
    </xf>
    <xf numFmtId="172" fontId="38" fillId="28" borderId="556" xfId="1" applyNumberFormat="1" applyFont="1" applyFill="1" applyBorder="1" applyAlignment="1">
      <alignment horizontal="center" vertical="center"/>
    </xf>
    <xf numFmtId="14" fontId="38" fillId="28" borderId="556" xfId="1" applyNumberFormat="1" applyFont="1" applyFill="1" applyBorder="1" applyAlignment="1">
      <alignment horizontal="center" vertical="center"/>
    </xf>
    <xf numFmtId="171" fontId="58" fillId="0" borderId="0" xfId="1" applyNumberFormat="1" applyFont="1" applyBorder="1" applyAlignment="1">
      <alignment horizontal="center" vertical="center"/>
    </xf>
    <xf numFmtId="0" fontId="84" fillId="0" borderId="0" xfId="15" applyFont="1" applyFill="1" applyBorder="1" applyAlignment="1">
      <alignment horizontal="left" vertical="center"/>
    </xf>
    <xf numFmtId="0" fontId="69" fillId="0" borderId="0" xfId="1" applyFont="1" applyFill="1" applyBorder="1" applyAlignment="1">
      <alignment horizontal="center" vertical="center"/>
    </xf>
    <xf numFmtId="3" fontId="35" fillId="0" borderId="0" xfId="1" applyNumberFormat="1" applyFont="1" applyBorder="1" applyAlignment="1">
      <alignment horizontal="center" vertical="center"/>
    </xf>
    <xf numFmtId="0" fontId="2" fillId="0" borderId="128" xfId="0" applyFont="1" applyBorder="1"/>
    <xf numFmtId="0" fontId="50" fillId="0" borderId="372" xfId="1" applyFont="1" applyFill="1" applyBorder="1" applyAlignment="1">
      <alignment horizontal="right" vertical="center"/>
    </xf>
    <xf numFmtId="3" fontId="6" fillId="0" borderId="420" xfId="15" applyNumberFormat="1" applyFill="1" applyBorder="1" applyAlignment="1">
      <alignment horizontal="center" vertical="center"/>
    </xf>
    <xf numFmtId="3" fontId="45" fillId="0" borderId="18" xfId="1" applyNumberFormat="1" applyFont="1" applyFill="1" applyBorder="1" applyAlignment="1">
      <alignment horizontal="center" vertical="center"/>
    </xf>
    <xf numFmtId="3" fontId="45" fillId="0" borderId="566" xfId="1" applyNumberFormat="1" applyFont="1" applyFill="1" applyBorder="1" applyAlignment="1">
      <alignment horizontal="center" vertical="center"/>
    </xf>
    <xf numFmtId="3" fontId="45" fillId="0" borderId="565" xfId="1" applyNumberFormat="1" applyFont="1" applyFill="1" applyBorder="1" applyAlignment="1">
      <alignment horizontal="center" vertical="center"/>
    </xf>
    <xf numFmtId="0" fontId="59" fillId="0" borderId="563" xfId="1" applyFont="1" applyFill="1" applyBorder="1" applyAlignment="1">
      <alignment horizontal="center" vertical="center"/>
    </xf>
    <xf numFmtId="3" fontId="17" fillId="0" borderId="542" xfId="1" applyNumberFormat="1" applyFont="1" applyBorder="1" applyAlignment="1">
      <alignment horizontal="center" vertical="center"/>
    </xf>
    <xf numFmtId="0" fontId="17" fillId="0" borderId="325" xfId="17" applyFont="1" applyFill="1" applyBorder="1" applyAlignment="1">
      <alignment horizontal="center" vertical="center"/>
    </xf>
    <xf numFmtId="167" fontId="58" fillId="0" borderId="561" xfId="1" applyNumberFormat="1" applyFont="1" applyBorder="1" applyAlignment="1">
      <alignment horizontal="center" vertical="center"/>
    </xf>
    <xf numFmtId="0" fontId="59" fillId="0" borderId="562" xfId="1" applyFont="1" applyFill="1" applyBorder="1" applyAlignment="1">
      <alignment horizontal="center" vertical="center"/>
    </xf>
    <xf numFmtId="0" fontId="46" fillId="0" borderId="337" xfId="1" applyFont="1" applyFill="1" applyBorder="1" applyAlignment="1">
      <alignment horizontal="center"/>
    </xf>
    <xf numFmtId="0" fontId="69" fillId="0" borderId="110" xfId="1" applyFont="1" applyFill="1" applyBorder="1" applyAlignment="1">
      <alignment horizontal="center" vertical="center"/>
    </xf>
    <xf numFmtId="0" fontId="82" fillId="0" borderId="572" xfId="15" applyFont="1" applyFill="1" applyBorder="1" applyAlignment="1">
      <alignment vertical="center"/>
    </xf>
    <xf numFmtId="3" fontId="45" fillId="0" borderId="573" xfId="1" applyNumberFormat="1" applyFont="1" applyFill="1" applyBorder="1" applyAlignment="1">
      <alignment horizontal="center" vertical="center"/>
    </xf>
    <xf numFmtId="3" fontId="45" fillId="0" borderId="574" xfId="1" applyNumberFormat="1" applyFont="1" applyFill="1" applyBorder="1" applyAlignment="1">
      <alignment horizontal="center" vertical="center"/>
    </xf>
    <xf numFmtId="3" fontId="45" fillId="0" borderId="575" xfId="1" applyNumberFormat="1" applyFont="1" applyFill="1" applyBorder="1" applyAlignment="1">
      <alignment horizontal="center" vertical="center"/>
    </xf>
    <xf numFmtId="0" fontId="46" fillId="0" borderId="469" xfId="1" applyFont="1" applyFill="1" applyBorder="1" applyAlignment="1">
      <alignment horizontal="center"/>
    </xf>
    <xf numFmtId="3" fontId="45" fillId="0" borderId="576" xfId="1" applyNumberFormat="1" applyFont="1" applyFill="1" applyBorder="1" applyAlignment="1">
      <alignment horizontal="center" vertical="center"/>
    </xf>
    <xf numFmtId="3" fontId="45" fillId="0" borderId="577" xfId="1" applyNumberFormat="1" applyFont="1" applyFill="1" applyBorder="1" applyAlignment="1">
      <alignment horizontal="center" vertical="center"/>
    </xf>
    <xf numFmtId="3" fontId="45" fillId="0" borderId="586" xfId="1" applyNumberFormat="1" applyFont="1" applyFill="1" applyBorder="1" applyAlignment="1">
      <alignment horizontal="center" vertical="center"/>
    </xf>
    <xf numFmtId="3" fontId="45" fillId="0" borderId="584" xfId="1" applyNumberFormat="1" applyFont="1" applyFill="1" applyBorder="1" applyAlignment="1">
      <alignment horizontal="center" vertical="center"/>
    </xf>
    <xf numFmtId="0" fontId="46" fillId="0" borderId="585" xfId="1" applyFont="1" applyFill="1" applyBorder="1" applyAlignment="1">
      <alignment horizontal="center"/>
    </xf>
    <xf numFmtId="3" fontId="45" fillId="0" borderId="568" xfId="1" applyNumberFormat="1" applyFont="1" applyFill="1" applyBorder="1" applyAlignment="1">
      <alignment horizontal="center" vertical="center"/>
    </xf>
    <xf numFmtId="3" fontId="45" fillId="0" borderId="567" xfId="1" applyNumberFormat="1" applyFont="1" applyFill="1" applyBorder="1" applyAlignment="1">
      <alignment horizontal="center" vertical="center"/>
    </xf>
    <xf numFmtId="0" fontId="59" fillId="0" borderId="580" xfId="1" applyFont="1" applyFill="1" applyBorder="1" applyAlignment="1">
      <alignment horizontal="center" vertical="center"/>
    </xf>
    <xf numFmtId="3" fontId="45" fillId="0" borderId="581" xfId="1" applyNumberFormat="1" applyFont="1" applyFill="1" applyBorder="1" applyAlignment="1">
      <alignment horizontal="center" vertical="center"/>
    </xf>
    <xf numFmtId="3" fontId="45" fillId="0" borderId="582" xfId="1" applyNumberFormat="1" applyFont="1" applyFill="1" applyBorder="1" applyAlignment="1">
      <alignment horizontal="center" vertical="center"/>
    </xf>
    <xf numFmtId="3" fontId="45" fillId="0" borderId="583" xfId="1" applyNumberFormat="1" applyFont="1" applyFill="1" applyBorder="1" applyAlignment="1">
      <alignment horizontal="center" vertical="center"/>
    </xf>
    <xf numFmtId="0" fontId="59" fillId="0" borderId="589" xfId="1" applyFont="1" applyFill="1" applyBorder="1" applyAlignment="1">
      <alignment horizontal="center" vertical="center"/>
    </xf>
    <xf numFmtId="169" fontId="17" fillId="0" borderId="588" xfId="1" applyNumberFormat="1" applyFont="1" applyFill="1" applyBorder="1" applyAlignment="1">
      <alignment vertical="center"/>
    </xf>
    <xf numFmtId="3" fontId="45" fillId="0" borderId="590" xfId="1" applyNumberFormat="1" applyFont="1" applyFill="1" applyBorder="1" applyAlignment="1">
      <alignment horizontal="center" vertical="center"/>
    </xf>
    <xf numFmtId="169" fontId="17" fillId="0" borderId="588" xfId="1" applyNumberFormat="1" applyFont="1" applyFill="1" applyBorder="1" applyAlignment="1">
      <alignment horizontal="right" vertical="center"/>
    </xf>
    <xf numFmtId="3" fontId="45" fillId="0" borderId="591" xfId="1" applyNumberFormat="1" applyFont="1" applyFill="1" applyBorder="1" applyAlignment="1">
      <alignment horizontal="center" vertical="center"/>
    </xf>
    <xf numFmtId="3" fontId="69" fillId="0" borderId="593" xfId="1" applyNumberFormat="1" applyFont="1" applyFill="1" applyBorder="1" applyAlignment="1">
      <alignment horizontal="center" vertical="center"/>
    </xf>
    <xf numFmtId="0" fontId="59" fillId="0" borderId="594" xfId="1" applyFont="1" applyFill="1" applyBorder="1" applyAlignment="1">
      <alignment horizontal="center" vertical="center"/>
    </xf>
    <xf numFmtId="3" fontId="45" fillId="0" borderId="593" xfId="1" applyNumberFormat="1" applyFont="1" applyFill="1" applyBorder="1" applyAlignment="1">
      <alignment horizontal="center" vertical="center"/>
    </xf>
    <xf numFmtId="0" fontId="59" fillId="0" borderId="595" xfId="1" applyFont="1" applyFill="1" applyBorder="1" applyAlignment="1">
      <alignment horizontal="center" vertical="center"/>
    </xf>
    <xf numFmtId="169" fontId="17" fillId="0" borderId="586" xfId="1" applyNumberFormat="1" applyFont="1" applyFill="1" applyBorder="1" applyAlignment="1">
      <alignment horizontal="right" vertical="center"/>
    </xf>
    <xf numFmtId="3" fontId="45" fillId="0" borderId="596" xfId="1" applyNumberFormat="1" applyFont="1" applyFill="1" applyBorder="1" applyAlignment="1">
      <alignment horizontal="center" vertical="center"/>
    </xf>
    <xf numFmtId="169" fontId="17" fillId="0" borderId="567" xfId="1" applyNumberFormat="1" applyFont="1" applyFill="1" applyBorder="1" applyAlignment="1">
      <alignment horizontal="right" vertical="center"/>
    </xf>
    <xf numFmtId="169" fontId="17" fillId="0" borderId="596" xfId="1" applyNumberFormat="1" applyFont="1" applyFill="1" applyBorder="1" applyAlignment="1">
      <alignment horizontal="right" vertical="center"/>
    </xf>
    <xf numFmtId="169" fontId="17" fillId="0" borderId="597" xfId="1" applyNumberFormat="1" applyFont="1" applyFill="1" applyBorder="1" applyAlignment="1">
      <alignment horizontal="right" vertical="center"/>
    </xf>
    <xf numFmtId="0" fontId="45" fillId="0" borderId="594" xfId="1" applyFont="1" applyFill="1" applyBorder="1" applyAlignment="1">
      <alignment vertical="center"/>
    </xf>
    <xf numFmtId="0" fontId="82" fillId="11" borderId="598" xfId="15" applyFont="1" applyFill="1" applyBorder="1" applyAlignment="1">
      <alignment horizontal="left" vertical="center"/>
    </xf>
    <xf numFmtId="0" fontId="23" fillId="24" borderId="286" xfId="1" applyFont="1" applyFill="1" applyBorder="1" applyAlignment="1">
      <alignment horizontal="center" vertical="center"/>
    </xf>
    <xf numFmtId="0" fontId="104" fillId="37" borderId="0" xfId="15" applyFont="1" applyFill="1" applyBorder="1" applyAlignment="1">
      <alignment horizontal="left" vertical="center"/>
    </xf>
    <xf numFmtId="0" fontId="109" fillId="35" borderId="247" xfId="15" applyFont="1" applyFill="1" applyBorder="1" applyAlignment="1">
      <alignment horizontal="left" vertical="center"/>
    </xf>
    <xf numFmtId="0" fontId="104" fillId="42" borderId="8" xfId="15" applyFont="1" applyFill="1" applyBorder="1" applyAlignment="1">
      <alignment horizontal="left" vertical="center"/>
    </xf>
    <xf numFmtId="0" fontId="117" fillId="29" borderId="0" xfId="1" applyFont="1" applyFill="1" applyBorder="1" applyAlignment="1">
      <alignment horizontal="center"/>
    </xf>
    <xf numFmtId="0" fontId="117" fillId="25" borderId="4" xfId="1" applyFont="1" applyFill="1" applyBorder="1" applyAlignment="1">
      <alignment horizontal="center"/>
    </xf>
    <xf numFmtId="0" fontId="59" fillId="26" borderId="498" xfId="1" applyFont="1" applyFill="1" applyBorder="1" applyAlignment="1">
      <alignment horizontal="center"/>
    </xf>
    <xf numFmtId="0" fontId="117" fillId="42" borderId="8" xfId="1" applyFont="1" applyFill="1" applyBorder="1" applyAlignment="1">
      <alignment horizontal="center"/>
    </xf>
    <xf numFmtId="0" fontId="41" fillId="22" borderId="356" xfId="1" applyFont="1" applyFill="1" applyBorder="1" applyAlignment="1">
      <alignment horizontal="center" vertical="center"/>
    </xf>
    <xf numFmtId="3" fontId="17" fillId="35" borderId="18" xfId="1" applyNumberFormat="1" applyFont="1" applyFill="1" applyBorder="1" applyAlignment="1">
      <alignment horizontal="center" vertical="center"/>
    </xf>
    <xf numFmtId="3" fontId="39" fillId="27" borderId="258" xfId="1" applyNumberFormat="1" applyFont="1" applyFill="1" applyBorder="1" applyAlignment="1">
      <alignment horizontal="center" vertical="center"/>
    </xf>
    <xf numFmtId="3" fontId="17" fillId="41" borderId="326" xfId="1" applyNumberFormat="1" applyFont="1" applyFill="1" applyBorder="1" applyAlignment="1">
      <alignment horizontal="center" vertical="center"/>
    </xf>
    <xf numFmtId="3" fontId="17" fillId="24" borderId="280" xfId="1" applyNumberFormat="1" applyFont="1" applyFill="1" applyBorder="1" applyAlignment="1">
      <alignment horizontal="center" vertical="center"/>
    </xf>
    <xf numFmtId="3" fontId="17" fillId="4" borderId="303" xfId="1" applyNumberFormat="1" applyFont="1" applyFill="1" applyBorder="1" applyAlignment="1">
      <alignment horizontal="center" vertical="center"/>
    </xf>
    <xf numFmtId="3" fontId="37" fillId="35" borderId="386" xfId="1" applyNumberFormat="1" applyFont="1" applyFill="1" applyBorder="1" applyAlignment="1">
      <alignment horizontal="center" vertical="center"/>
    </xf>
    <xf numFmtId="3" fontId="39" fillId="38" borderId="64" xfId="1" applyNumberFormat="1" applyFont="1" applyFill="1" applyBorder="1" applyAlignment="1">
      <alignment horizontal="center" vertical="center"/>
    </xf>
    <xf numFmtId="3" fontId="39" fillId="27" borderId="24" xfId="1" applyNumberFormat="1" applyFont="1" applyFill="1" applyBorder="1" applyAlignment="1">
      <alignment horizontal="center" vertical="center"/>
    </xf>
    <xf numFmtId="3" fontId="38" fillId="0" borderId="70" xfId="1" applyNumberFormat="1" applyFont="1" applyFill="1" applyBorder="1" applyAlignment="1">
      <alignment horizontal="center" vertical="center"/>
    </xf>
    <xf numFmtId="3" fontId="38" fillId="0" borderId="52" xfId="1" applyNumberFormat="1" applyFont="1" applyFill="1" applyBorder="1" applyAlignment="1">
      <alignment horizontal="center" vertical="center"/>
    </xf>
    <xf numFmtId="3" fontId="17" fillId="8" borderId="317" xfId="1" applyNumberFormat="1" applyFont="1" applyFill="1" applyBorder="1" applyAlignment="1">
      <alignment horizontal="center" vertical="center"/>
    </xf>
    <xf numFmtId="3" fontId="38" fillId="27" borderId="24" xfId="1" applyNumberFormat="1" applyFont="1" applyFill="1" applyBorder="1" applyAlignment="1">
      <alignment horizontal="left" vertical="center"/>
    </xf>
    <xf numFmtId="3" fontId="38" fillId="4" borderId="72" xfId="1" applyNumberFormat="1" applyFont="1" applyFill="1" applyBorder="1" applyAlignment="1">
      <alignment horizontal="left" vertical="center"/>
    </xf>
    <xf numFmtId="3" fontId="38" fillId="27" borderId="24" xfId="1" applyNumberFormat="1" applyFont="1" applyFill="1" applyBorder="1" applyAlignment="1">
      <alignment horizontal="center" vertical="center"/>
    </xf>
    <xf numFmtId="3" fontId="17" fillId="26" borderId="332" xfId="1" applyNumberFormat="1" applyFont="1" applyFill="1" applyBorder="1" applyAlignment="1">
      <alignment horizontal="center" vertical="center"/>
    </xf>
    <xf numFmtId="3" fontId="150" fillId="24" borderId="259" xfId="1" applyNumberFormat="1" applyFont="1" applyFill="1" applyBorder="1" applyAlignment="1">
      <alignment horizontal="center" vertical="center"/>
    </xf>
    <xf numFmtId="3" fontId="38" fillId="4" borderId="72" xfId="1" applyNumberFormat="1" applyFont="1" applyFill="1" applyBorder="1" applyAlignment="1">
      <alignment horizontal="center" vertical="center"/>
    </xf>
    <xf numFmtId="3" fontId="17" fillId="27" borderId="494" xfId="1" applyNumberFormat="1" applyFont="1" applyFill="1" applyBorder="1" applyAlignment="1">
      <alignment horizontal="center" vertical="center"/>
    </xf>
    <xf numFmtId="3" fontId="38" fillId="24" borderId="494" xfId="1" applyNumberFormat="1" applyFont="1" applyFill="1" applyBorder="1" applyAlignment="1">
      <alignment horizontal="center" vertical="center"/>
    </xf>
    <xf numFmtId="0" fontId="17" fillId="27" borderId="24" xfId="1" applyFont="1" applyFill="1" applyBorder="1" applyAlignment="1">
      <alignment horizontal="center" vertical="center"/>
    </xf>
    <xf numFmtId="0" fontId="150" fillId="24" borderId="259" xfId="1" applyFont="1" applyFill="1" applyBorder="1" applyAlignment="1">
      <alignment horizontal="center" vertical="center"/>
    </xf>
    <xf numFmtId="0" fontId="150" fillId="25" borderId="169" xfId="1" applyFont="1" applyFill="1" applyBorder="1" applyAlignment="1">
      <alignment horizontal="center" vertical="center"/>
    </xf>
    <xf numFmtId="0" fontId="17" fillId="52" borderId="64" xfId="1" applyFont="1" applyFill="1" applyBorder="1" applyAlignment="1">
      <alignment horizontal="center" vertical="center"/>
    </xf>
    <xf numFmtId="172" fontId="17" fillId="35" borderId="64" xfId="1" applyNumberFormat="1" applyFont="1" applyFill="1" applyBorder="1" applyAlignment="1">
      <alignment horizontal="center" vertical="center"/>
    </xf>
    <xf numFmtId="172" fontId="17" fillId="34" borderId="24" xfId="1" applyNumberFormat="1" applyFont="1" applyFill="1" applyBorder="1" applyAlignment="1">
      <alignment horizontal="center" vertical="center"/>
    </xf>
    <xf numFmtId="172" fontId="17" fillId="27" borderId="325" xfId="1" applyNumberFormat="1" applyFont="1" applyFill="1" applyBorder="1" applyAlignment="1">
      <alignment horizontal="center" vertical="center"/>
    </xf>
    <xf numFmtId="172" fontId="38" fillId="4" borderId="72" xfId="1" applyNumberFormat="1" applyFont="1" applyFill="1" applyBorder="1" applyAlignment="1">
      <alignment horizontal="center" vertical="center"/>
    </xf>
    <xf numFmtId="14" fontId="38" fillId="27" borderId="24" xfId="1" applyNumberFormat="1" applyFont="1" applyFill="1" applyBorder="1" applyAlignment="1">
      <alignment horizontal="center" vertical="center"/>
    </xf>
    <xf numFmtId="14" fontId="38" fillId="25" borderId="169" xfId="1" quotePrefix="1" applyNumberFormat="1" applyFont="1" applyFill="1" applyBorder="1" applyAlignment="1">
      <alignment horizontal="center" vertical="center"/>
    </xf>
    <xf numFmtId="14" fontId="38" fillId="4" borderId="72" xfId="1" applyNumberFormat="1" applyFont="1" applyFill="1" applyBorder="1" applyAlignment="1">
      <alignment horizontal="center" vertical="center"/>
    </xf>
    <xf numFmtId="14" fontId="38" fillId="35" borderId="24" xfId="1" quotePrefix="1" applyNumberFormat="1" applyFont="1" applyFill="1" applyBorder="1" applyAlignment="1">
      <alignment horizontal="center" vertical="center"/>
    </xf>
    <xf numFmtId="0" fontId="104" fillId="17" borderId="578" xfId="15" applyFont="1" applyFill="1" applyBorder="1" applyAlignment="1">
      <alignment horizontal="left" vertical="center"/>
    </xf>
    <xf numFmtId="0" fontId="82" fillId="57" borderId="197" xfId="15" applyFont="1" applyFill="1" applyBorder="1" applyAlignment="1">
      <alignment horizontal="left" vertical="center"/>
    </xf>
    <xf numFmtId="0" fontId="59" fillId="0" borderId="579" xfId="1" applyFont="1" applyFill="1" applyBorder="1" applyAlignment="1">
      <alignment horizontal="center" vertical="center"/>
    </xf>
    <xf numFmtId="3" fontId="6" fillId="0" borderId="365" xfId="15" applyNumberFormat="1" applyFill="1" applyBorder="1" applyAlignment="1">
      <alignment horizontal="center" vertical="center"/>
    </xf>
    <xf numFmtId="0" fontId="82" fillId="0" borderId="569" xfId="15" applyFont="1" applyFill="1" applyBorder="1" applyAlignment="1">
      <alignment horizontal="left" vertical="center"/>
    </xf>
    <xf numFmtId="0" fontId="45" fillId="0" borderId="599" xfId="1" applyFont="1" applyFill="1" applyBorder="1" applyAlignment="1">
      <alignment vertical="center"/>
    </xf>
    <xf numFmtId="0" fontId="59" fillId="0" borderId="599" xfId="1" applyFont="1" applyFill="1" applyBorder="1" applyAlignment="1">
      <alignment horizontal="center" vertical="center"/>
    </xf>
    <xf numFmtId="3" fontId="38" fillId="25" borderId="368" xfId="1" applyNumberFormat="1" applyFont="1" applyFill="1" applyBorder="1" applyAlignment="1">
      <alignment horizontal="left" vertical="center"/>
    </xf>
    <xf numFmtId="3" fontId="38" fillId="24" borderId="386" xfId="1" applyNumberFormat="1" applyFont="1" applyFill="1" applyBorder="1" applyAlignment="1">
      <alignment horizontal="center" vertical="center"/>
    </xf>
    <xf numFmtId="0" fontId="17" fillId="25" borderId="368" xfId="1" applyFont="1" applyFill="1" applyBorder="1" applyAlignment="1">
      <alignment horizontal="center" vertical="center"/>
    </xf>
    <xf numFmtId="172" fontId="38" fillId="25" borderId="368" xfId="1" applyNumberFormat="1" applyFont="1" applyFill="1" applyBorder="1" applyAlignment="1">
      <alignment horizontal="center" vertical="center"/>
    </xf>
    <xf numFmtId="14" fontId="38" fillId="25" borderId="368" xfId="1" applyNumberFormat="1" applyFont="1" applyFill="1" applyBorder="1" applyAlignment="1">
      <alignment horizontal="center" vertical="center"/>
    </xf>
    <xf numFmtId="0" fontId="73" fillId="26" borderId="337" xfId="1" applyFont="1" applyFill="1" applyBorder="1" applyAlignment="1">
      <alignment horizontal="left" vertical="center"/>
    </xf>
    <xf numFmtId="0" fontId="109" fillId="34" borderId="287" xfId="15" applyFont="1" applyFill="1" applyBorder="1" applyAlignment="1">
      <alignment horizontal="left" vertical="center"/>
    </xf>
    <xf numFmtId="0" fontId="59" fillId="40" borderId="0" xfId="1" applyFont="1" applyFill="1" applyBorder="1" applyAlignment="1">
      <alignment horizontal="center"/>
    </xf>
    <xf numFmtId="3" fontId="39" fillId="26" borderId="255" xfId="1" applyNumberFormat="1" applyFont="1" applyFill="1" applyBorder="1" applyAlignment="1">
      <alignment horizontal="center" vertical="center"/>
    </xf>
    <xf numFmtId="3" fontId="17" fillId="37" borderId="99" xfId="1" applyNumberFormat="1" applyFont="1" applyFill="1" applyBorder="1" applyAlignment="1">
      <alignment horizontal="center" vertical="center"/>
    </xf>
    <xf numFmtId="3" fontId="17" fillId="40" borderId="99" xfId="1" applyNumberFormat="1" applyFont="1" applyFill="1" applyBorder="1" applyAlignment="1">
      <alignment horizontal="center" vertical="center"/>
    </xf>
    <xf numFmtId="3" fontId="39" fillId="26" borderId="245" xfId="1" applyNumberFormat="1" applyFont="1" applyFill="1" applyBorder="1" applyAlignment="1">
      <alignment horizontal="center" vertical="center"/>
    </xf>
    <xf numFmtId="3" fontId="37" fillId="24" borderId="24" xfId="1" applyNumberFormat="1" applyFont="1" applyFill="1" applyBorder="1" applyAlignment="1">
      <alignment horizontal="center" vertical="center"/>
    </xf>
    <xf numFmtId="3" fontId="39" fillId="37" borderId="64" xfId="1" applyNumberFormat="1" applyFont="1" applyFill="1" applyBorder="1" applyAlignment="1">
      <alignment horizontal="center" vertical="center"/>
    </xf>
    <xf numFmtId="3" fontId="39" fillId="40" borderId="64" xfId="1" applyNumberFormat="1" applyFont="1" applyFill="1" applyBorder="1" applyAlignment="1">
      <alignment horizontal="center" vertical="center"/>
    </xf>
    <xf numFmtId="3" fontId="38" fillId="0" borderId="24" xfId="1" applyNumberFormat="1" applyFont="1" applyFill="1" applyBorder="1" applyAlignment="1">
      <alignment horizontal="center" vertical="center" shrinkToFit="1"/>
    </xf>
    <xf numFmtId="3" fontId="38" fillId="35" borderId="103" xfId="1" applyNumberFormat="1" applyFont="1" applyFill="1" applyBorder="1" applyAlignment="1">
      <alignment horizontal="left" vertical="center"/>
    </xf>
    <xf numFmtId="3" fontId="38" fillId="41" borderId="24" xfId="1" applyNumberFormat="1" applyFont="1" applyFill="1" applyBorder="1" applyAlignment="1">
      <alignment horizontal="center" vertical="center"/>
    </xf>
    <xf numFmtId="3" fontId="38" fillId="34" borderId="55" xfId="1" applyNumberFormat="1" applyFont="1" applyFill="1" applyBorder="1" applyAlignment="1">
      <alignment horizontal="center" vertical="center"/>
    </xf>
    <xf numFmtId="3" fontId="17" fillId="41" borderId="494" xfId="1" applyNumberFormat="1" applyFont="1" applyFill="1" applyBorder="1" applyAlignment="1">
      <alignment horizontal="center" vertical="center"/>
    </xf>
    <xf numFmtId="3" fontId="150" fillId="34" borderId="482" xfId="1" applyNumberFormat="1" applyFont="1" applyFill="1" applyBorder="1" applyAlignment="1">
      <alignment horizontal="center" vertical="center"/>
    </xf>
    <xf numFmtId="3" fontId="38" fillId="27" borderId="514" xfId="1" applyNumberFormat="1" applyFont="1" applyFill="1" applyBorder="1" applyAlignment="1">
      <alignment horizontal="center" vertical="center"/>
    </xf>
    <xf numFmtId="0" fontId="17" fillId="41" borderId="24" xfId="1" applyFont="1" applyFill="1" applyBorder="1" applyAlignment="1">
      <alignment horizontal="center" vertical="center"/>
    </xf>
    <xf numFmtId="0" fontId="17" fillId="35" borderId="103" xfId="1" applyFont="1" applyFill="1" applyBorder="1" applyAlignment="1">
      <alignment horizontal="center" vertical="center"/>
    </xf>
    <xf numFmtId="172" fontId="17" fillId="24" borderId="325" xfId="1" applyNumberFormat="1" applyFont="1" applyFill="1" applyBorder="1" applyAlignment="1">
      <alignment horizontal="center" vertical="center"/>
    </xf>
    <xf numFmtId="172" fontId="38" fillId="35" borderId="103" xfId="1" applyNumberFormat="1" applyFont="1" applyFill="1" applyBorder="1" applyAlignment="1">
      <alignment horizontal="center" vertical="center"/>
    </xf>
    <xf numFmtId="14" fontId="38" fillId="35" borderId="103" xfId="1" applyNumberFormat="1" applyFont="1" applyFill="1" applyBorder="1" applyAlignment="1">
      <alignment horizontal="center" vertical="center"/>
    </xf>
    <xf numFmtId="3" fontId="150" fillId="4" borderId="304" xfId="1" applyNumberFormat="1" applyFont="1" applyFill="1" applyBorder="1" applyAlignment="1">
      <alignment horizontal="center" vertical="center"/>
    </xf>
    <xf numFmtId="3" fontId="150" fillId="4" borderId="491" xfId="1" applyNumberFormat="1" applyFont="1" applyFill="1" applyBorder="1" applyAlignment="1">
      <alignment horizontal="center" vertical="center"/>
    </xf>
    <xf numFmtId="0" fontId="150" fillId="4" borderId="300" xfId="1" applyFont="1" applyFill="1" applyBorder="1" applyAlignment="1">
      <alignment horizontal="center" vertical="center"/>
    </xf>
    <xf numFmtId="3" fontId="150" fillId="4" borderId="331" xfId="1" applyNumberFormat="1" applyFont="1" applyFill="1" applyBorder="1" applyAlignment="1">
      <alignment horizontal="center" vertical="center"/>
    </xf>
    <xf numFmtId="0" fontId="40" fillId="0" borderId="0" xfId="1" applyFont="1" applyFill="1" applyBorder="1" applyAlignment="1">
      <alignment horizontal="left" vertical="center"/>
    </xf>
    <xf numFmtId="0" fontId="64" fillId="0" borderId="59" xfId="0" applyFont="1" applyBorder="1" applyAlignment="1">
      <alignment vertical="center"/>
    </xf>
    <xf numFmtId="0" fontId="77" fillId="0" borderId="406" xfId="1" applyFont="1" applyFill="1" applyBorder="1" applyAlignment="1">
      <alignment horizontal="left" vertical="center"/>
    </xf>
    <xf numFmtId="169" fontId="38" fillId="0" borderId="588" xfId="1" applyNumberFormat="1" applyFont="1" applyFill="1" applyBorder="1" applyAlignment="1">
      <alignment horizontal="right" vertical="center"/>
    </xf>
    <xf numFmtId="0" fontId="82" fillId="0" borderId="598" xfId="15" applyFont="1" applyFill="1" applyBorder="1" applyAlignment="1">
      <alignment horizontal="left" vertical="center"/>
    </xf>
    <xf numFmtId="0" fontId="64" fillId="0" borderId="302" xfId="0" applyFont="1" applyFill="1" applyBorder="1" applyAlignment="1">
      <alignment vertical="center"/>
    </xf>
    <xf numFmtId="0" fontId="64" fillId="0" borderId="201" xfId="0" applyFont="1" applyFill="1" applyBorder="1" applyAlignment="1">
      <alignment vertical="center"/>
    </xf>
    <xf numFmtId="0" fontId="46" fillId="0" borderId="487" xfId="1" applyFont="1" applyFill="1" applyBorder="1" applyAlignment="1">
      <alignment horizontal="center" vertical="center"/>
    </xf>
    <xf numFmtId="0" fontId="45" fillId="0" borderId="598" xfId="15" applyFont="1" applyFill="1" applyBorder="1" applyAlignment="1">
      <alignment horizontal="left" vertical="center"/>
    </xf>
    <xf numFmtId="0" fontId="83" fillId="0" borderId="383" xfId="15" applyFont="1" applyFill="1" applyBorder="1" applyAlignment="1">
      <alignment horizontal="left" vertical="center"/>
    </xf>
    <xf numFmtId="0" fontId="48" fillId="0" borderId="474" xfId="1" applyFont="1" applyFill="1" applyBorder="1" applyAlignment="1">
      <alignment vertical="center"/>
    </xf>
    <xf numFmtId="0" fontId="82" fillId="17" borderId="598" xfId="15" applyFont="1" applyFill="1" applyBorder="1" applyAlignment="1">
      <alignment horizontal="left" vertical="center"/>
    </xf>
    <xf numFmtId="0" fontId="104" fillId="0" borderId="468" xfId="15" applyFont="1" applyFill="1" applyBorder="1" applyAlignment="1">
      <alignment horizontal="left" vertical="center"/>
    </xf>
    <xf numFmtId="0" fontId="45" fillId="0" borderId="569" xfId="1" applyFont="1" applyFill="1" applyBorder="1" applyAlignment="1">
      <alignment horizontal="left" vertical="center"/>
    </xf>
    <xf numFmtId="0" fontId="104" fillId="0" borderId="8" xfId="15" applyFont="1" applyFill="1" applyBorder="1" applyAlignment="1">
      <alignment horizontal="left" vertical="center"/>
    </xf>
    <xf numFmtId="0" fontId="45" fillId="0" borderId="526" xfId="1" applyFont="1" applyFill="1" applyBorder="1" applyAlignment="1">
      <alignment horizontal="left" vertical="center"/>
    </xf>
    <xf numFmtId="0" fontId="104" fillId="0" borderId="540" xfId="15" applyFont="1" applyFill="1" applyBorder="1" applyAlignment="1">
      <alignment horizontal="left" vertical="center"/>
    </xf>
    <xf numFmtId="0" fontId="64" fillId="0" borderId="197" xfId="0" applyFont="1" applyBorder="1" applyAlignment="1">
      <alignment vertical="center"/>
    </xf>
    <xf numFmtId="0" fontId="82" fillId="0" borderId="539" xfId="15" applyFont="1" applyBorder="1" applyAlignment="1">
      <alignment vertical="center"/>
    </xf>
    <xf numFmtId="0" fontId="48" fillId="0" borderId="479" xfId="1" applyFont="1" applyFill="1" applyBorder="1" applyAlignment="1">
      <alignment vertical="center"/>
    </xf>
    <xf numFmtId="0" fontId="45" fillId="0" borderId="474" xfId="1" applyFont="1" applyFill="1" applyBorder="1" applyAlignment="1">
      <alignment vertical="center"/>
    </xf>
    <xf numFmtId="0" fontId="45" fillId="0" borderId="479" xfId="1" applyFont="1" applyFill="1" applyBorder="1" applyAlignment="1">
      <alignment vertical="center"/>
    </xf>
    <xf numFmtId="0" fontId="69" fillId="0" borderId="474" xfId="1" applyFont="1" applyFill="1" applyBorder="1" applyAlignment="1">
      <alignment horizontal="left" vertical="center"/>
    </xf>
    <xf numFmtId="0" fontId="82" fillId="56" borderId="465" xfId="15" applyFont="1" applyFill="1" applyBorder="1" applyAlignment="1">
      <alignment horizontal="left" vertical="center"/>
    </xf>
    <xf numFmtId="0" fontId="59" fillId="0" borderId="385" xfId="1" applyFont="1" applyFill="1" applyBorder="1" applyAlignment="1">
      <alignment horizontal="center" vertical="center"/>
    </xf>
    <xf numFmtId="0" fontId="82" fillId="17" borderId="383" xfId="15" applyFont="1" applyFill="1" applyBorder="1" applyAlignment="1">
      <alignment vertical="center"/>
    </xf>
    <xf numFmtId="0" fontId="86" fillId="0" borderId="83" xfId="1" applyFont="1" applyFill="1" applyBorder="1" applyAlignment="1">
      <alignment horizontal="left" vertical="center"/>
    </xf>
    <xf numFmtId="0" fontId="82" fillId="0" borderId="461" xfId="15" applyFont="1" applyBorder="1" applyAlignment="1">
      <alignment vertical="center"/>
    </xf>
    <xf numFmtId="0" fontId="86" fillId="0" borderId="526" xfId="1" applyFont="1" applyFill="1" applyBorder="1" applyAlignment="1">
      <alignment horizontal="left" vertical="center"/>
    </xf>
    <xf numFmtId="0" fontId="45" fillId="0" borderId="49" xfId="1" applyFont="1" applyFill="1" applyBorder="1" applyAlignment="1">
      <alignment horizontal="left" vertical="center"/>
    </xf>
    <xf numFmtId="0" fontId="45" fillId="0" borderId="461" xfId="1" applyFont="1" applyFill="1" applyBorder="1" applyAlignment="1">
      <alignment vertical="center"/>
    </xf>
    <xf numFmtId="0" fontId="104" fillId="56" borderId="218" xfId="15" applyFont="1" applyFill="1" applyBorder="1" applyAlignment="1">
      <alignment horizontal="left" vertical="center"/>
    </xf>
    <xf numFmtId="0" fontId="76" fillId="0" borderId="406" xfId="1" applyFont="1" applyFill="1" applyBorder="1" applyAlignment="1">
      <alignment horizontal="left" vertical="center"/>
    </xf>
    <xf numFmtId="0" fontId="69" fillId="0" borderId="82" xfId="1" applyFont="1" applyFill="1" applyBorder="1" applyAlignment="1">
      <alignment horizontal="left" vertical="center"/>
    </xf>
    <xf numFmtId="3" fontId="45" fillId="0" borderId="95" xfId="1" applyNumberFormat="1" applyFont="1" applyFill="1" applyBorder="1" applyAlignment="1">
      <alignment horizontal="left" vertical="center"/>
    </xf>
    <xf numFmtId="0" fontId="64" fillId="0" borderId="544" xfId="0" applyFont="1" applyFill="1" applyBorder="1" applyAlignment="1">
      <alignment vertical="center"/>
    </xf>
    <xf numFmtId="0" fontId="46" fillId="0" borderId="404" xfId="1" applyFont="1" applyFill="1" applyBorder="1" applyAlignment="1">
      <alignment horizontal="left" vertical="center"/>
    </xf>
    <xf numFmtId="0" fontId="86" fillId="0" borderId="412" xfId="1" applyFont="1" applyFill="1" applyBorder="1" applyAlignment="1">
      <alignment horizontal="left" vertical="center"/>
    </xf>
    <xf numFmtId="0" fontId="82" fillId="0" borderId="4" xfId="15" applyFont="1" applyFill="1" applyBorder="1" applyAlignment="1">
      <alignment horizontal="left" vertical="center"/>
    </xf>
    <xf numFmtId="0" fontId="64" fillId="0" borderId="197" xfId="0" applyFont="1" applyFill="1" applyBorder="1" applyAlignment="1">
      <alignment vertical="center"/>
    </xf>
    <xf numFmtId="0" fontId="86" fillId="0" borderId="406" xfId="1" applyFont="1" applyFill="1" applyBorder="1" applyAlignment="1">
      <alignment horizontal="left" vertical="center"/>
    </xf>
    <xf numFmtId="0" fontId="82" fillId="17" borderId="39" xfId="15" applyFont="1" applyFill="1" applyBorder="1" applyAlignment="1">
      <alignment horizontal="left" vertical="center"/>
    </xf>
    <xf numFmtId="169" fontId="38" fillId="0" borderId="91" xfId="1" applyNumberFormat="1" applyFont="1" applyFill="1" applyBorder="1" applyAlignment="1">
      <alignment horizontal="right" vertical="center"/>
    </xf>
    <xf numFmtId="169" fontId="17" fillId="0" borderId="67" xfId="1" applyNumberFormat="1" applyFont="1" applyFill="1" applyBorder="1" applyAlignment="1">
      <alignment horizontal="right" vertical="center"/>
    </xf>
    <xf numFmtId="0" fontId="46" fillId="0" borderId="217" xfId="1" applyFont="1" applyFill="1" applyBorder="1" applyAlignment="1">
      <alignment horizontal="left" vertical="center"/>
    </xf>
    <xf numFmtId="0" fontId="104" fillId="0" borderId="465" xfId="15" applyFont="1" applyFill="1" applyBorder="1" applyAlignment="1">
      <alignment horizontal="left" vertical="center"/>
    </xf>
    <xf numFmtId="0" fontId="69" fillId="0" borderId="594" xfId="1" applyFont="1" applyFill="1" applyBorder="1" applyAlignment="1">
      <alignment horizontal="left" vertical="center"/>
    </xf>
    <xf numFmtId="0" fontId="46" fillId="0" borderId="18" xfId="1" applyFont="1" applyFill="1" applyBorder="1" applyAlignment="1">
      <alignment vertical="center"/>
    </xf>
    <xf numFmtId="0" fontId="82" fillId="17" borderId="480" xfId="15" applyFont="1" applyFill="1" applyBorder="1" applyAlignment="1">
      <alignment horizontal="left" vertical="center"/>
    </xf>
    <xf numFmtId="3" fontId="45" fillId="0" borderId="603" xfId="1" applyNumberFormat="1" applyFont="1" applyFill="1" applyBorder="1" applyAlignment="1">
      <alignment horizontal="center" vertical="center"/>
    </xf>
    <xf numFmtId="0" fontId="82" fillId="17" borderId="578" xfId="15" applyFont="1" applyFill="1" applyBorder="1" applyAlignment="1">
      <alignment horizontal="left" vertical="center"/>
    </xf>
    <xf numFmtId="0" fontId="83" fillId="0" borderId="551" xfId="15" applyFont="1" applyFill="1" applyBorder="1" applyAlignment="1">
      <alignment horizontal="left" vertical="center"/>
    </xf>
    <xf numFmtId="0" fontId="83" fillId="0" borderId="302" xfId="15" applyFont="1" applyFill="1" applyBorder="1" applyAlignment="1">
      <alignment horizontal="left" vertical="center"/>
    </xf>
    <xf numFmtId="0" fontId="83" fillId="17" borderId="59" xfId="15" applyFont="1" applyFill="1" applyBorder="1" applyAlignment="1">
      <alignment horizontal="left" vertical="center"/>
    </xf>
    <xf numFmtId="0" fontId="150" fillId="52" borderId="317" xfId="1" applyFont="1" applyFill="1" applyBorder="1" applyAlignment="1">
      <alignment horizontal="center" vertical="center"/>
    </xf>
    <xf numFmtId="3" fontId="17" fillId="0" borderId="65" xfId="1" applyNumberFormat="1" applyFont="1" applyFill="1" applyBorder="1" applyAlignment="1">
      <alignment horizontal="center" vertical="center"/>
    </xf>
    <xf numFmtId="3" fontId="17" fillId="4" borderId="24" xfId="1" applyNumberFormat="1" applyFont="1" applyFill="1" applyBorder="1" applyAlignment="1">
      <alignment horizontal="left" vertical="center"/>
    </xf>
    <xf numFmtId="3" fontId="17" fillId="4" borderId="24" xfId="1" applyNumberFormat="1" applyFont="1" applyFill="1" applyBorder="1" applyAlignment="1">
      <alignment horizontal="center" vertical="center"/>
    </xf>
    <xf numFmtId="3" fontId="17" fillId="4" borderId="494" xfId="1" applyNumberFormat="1" applyFont="1" applyFill="1" applyBorder="1" applyAlignment="1">
      <alignment horizontal="center" vertical="center"/>
    </xf>
    <xf numFmtId="0" fontId="17" fillId="4" borderId="24" xfId="1" applyFont="1" applyFill="1" applyBorder="1" applyAlignment="1">
      <alignment horizontal="center" vertical="center"/>
    </xf>
    <xf numFmtId="3" fontId="17" fillId="25" borderId="245" xfId="1" applyNumberFormat="1" applyFont="1" applyFill="1" applyBorder="1" applyAlignment="1">
      <alignment horizontal="center" vertical="center"/>
    </xf>
    <xf numFmtId="0" fontId="82" fillId="17" borderId="52" xfId="15" applyFont="1" applyFill="1" applyBorder="1" applyAlignment="1">
      <alignment vertical="center"/>
    </xf>
    <xf numFmtId="0" fontId="59" fillId="0" borderId="560" xfId="1" applyFont="1" applyFill="1" applyBorder="1" applyAlignment="1">
      <alignment horizontal="center" vertical="center"/>
    </xf>
    <xf numFmtId="0" fontId="49" fillId="0" borderId="571" xfId="0" applyFont="1" applyBorder="1" applyAlignment="1">
      <alignment horizontal="left" vertical="center"/>
    </xf>
    <xf numFmtId="0" fontId="11" fillId="0" borderId="571" xfId="17" applyFont="1" applyFill="1" applyBorder="1" applyAlignment="1">
      <alignment horizontal="center" vertical="center"/>
    </xf>
    <xf numFmtId="3" fontId="34" fillId="0" borderId="571" xfId="1" applyNumberFormat="1" applyFont="1" applyFill="1" applyBorder="1" applyAlignment="1">
      <alignment horizontal="center" vertical="center"/>
    </xf>
    <xf numFmtId="3" fontId="45" fillId="0" borderId="571" xfId="1" applyNumberFormat="1" applyFont="1" applyFill="1" applyBorder="1" applyAlignment="1">
      <alignment horizontal="center" vertical="center"/>
    </xf>
    <xf numFmtId="0" fontId="11" fillId="0" borderId="482" xfId="17" applyFont="1" applyFill="1" applyBorder="1" applyAlignment="1">
      <alignment horizontal="center" vertical="center"/>
    </xf>
    <xf numFmtId="0" fontId="49" fillId="0" borderId="482" xfId="0" applyFont="1" applyBorder="1" applyAlignment="1">
      <alignment horizontal="left" vertical="center"/>
    </xf>
    <xf numFmtId="0" fontId="6" fillId="0" borderId="509" xfId="15" applyBorder="1" applyAlignment="1">
      <alignment horizontal="center" vertical="center"/>
    </xf>
    <xf numFmtId="3" fontId="61" fillId="0" borderId="571" xfId="0" applyNumberFormat="1" applyFont="1" applyBorder="1" applyAlignment="1">
      <alignment horizontal="center" vertical="center"/>
    </xf>
    <xf numFmtId="0" fontId="82" fillId="0" borderId="601" xfId="15" applyFont="1" applyFill="1" applyBorder="1" applyAlignment="1">
      <alignment horizontal="center" vertical="center"/>
    </xf>
    <xf numFmtId="0" fontId="82" fillId="0" borderId="601" xfId="15" applyFont="1" applyBorder="1" applyAlignment="1">
      <alignment horizontal="center" vertical="center"/>
    </xf>
    <xf numFmtId="0" fontId="45" fillId="0" borderId="516" xfId="1" applyFont="1" applyFill="1" applyBorder="1" applyAlignment="1">
      <alignment horizontal="left" vertical="center"/>
    </xf>
    <xf numFmtId="0" fontId="138" fillId="0" borderId="118" xfId="15" applyFont="1" applyFill="1" applyBorder="1" applyAlignment="1">
      <alignment horizontal="left" vertical="center"/>
    </xf>
    <xf numFmtId="0" fontId="133" fillId="0" borderId="118" xfId="15" applyFont="1" applyFill="1" applyBorder="1" applyAlignment="1">
      <alignment horizontal="left" vertical="center"/>
    </xf>
    <xf numFmtId="0" fontId="82" fillId="56" borderId="238" xfId="15" applyFont="1" applyFill="1" applyBorder="1" applyAlignment="1">
      <alignment horizontal="left" vertical="center"/>
    </xf>
    <xf numFmtId="0" fontId="69" fillId="0" borderId="408" xfId="1" applyFont="1" applyFill="1" applyBorder="1" applyAlignment="1">
      <alignment horizontal="left" vertical="center"/>
    </xf>
    <xf numFmtId="0" fontId="38" fillId="0" borderId="232" xfId="1" applyFont="1" applyFill="1" applyBorder="1" applyAlignment="1">
      <alignment horizontal="center" vertical="center"/>
    </xf>
    <xf numFmtId="0" fontId="38" fillId="0" borderId="62" xfId="1" applyFont="1" applyFill="1" applyBorder="1" applyAlignment="1">
      <alignment horizontal="center" vertical="center"/>
    </xf>
    <xf numFmtId="0" fontId="59" fillId="0" borderId="224" xfId="1" applyFont="1" applyFill="1" applyBorder="1" applyAlignment="1">
      <alignment horizontal="center" vertical="center"/>
    </xf>
    <xf numFmtId="0" fontId="83" fillId="17" borderId="238" xfId="15" applyFont="1" applyFill="1" applyBorder="1" applyAlignment="1">
      <alignment horizontal="left" vertical="center"/>
    </xf>
    <xf numFmtId="0" fontId="69" fillId="0" borderId="82" xfId="1" applyFont="1" applyFill="1" applyBorder="1" applyAlignment="1">
      <alignment horizontal="center" vertical="center"/>
    </xf>
    <xf numFmtId="3" fontId="70" fillId="0" borderId="0" xfId="1" applyNumberFormat="1" applyFont="1" applyFill="1" applyBorder="1" applyAlignment="1">
      <alignment horizontal="center" vertical="center"/>
    </xf>
    <xf numFmtId="0" fontId="49" fillId="0" borderId="4" xfId="0" applyFont="1" applyBorder="1" applyAlignment="1">
      <alignment horizontal="left"/>
    </xf>
    <xf numFmtId="0" fontId="49" fillId="0" borderId="0" xfId="0" applyFont="1" applyBorder="1" applyAlignment="1">
      <alignment horizontal="left"/>
    </xf>
    <xf numFmtId="0" fontId="49" fillId="0" borderId="0" xfId="0" applyFont="1" applyBorder="1" applyAlignment="1">
      <alignment horizontal="left" vertical="center"/>
    </xf>
    <xf numFmtId="0" fontId="49" fillId="0" borderId="0" xfId="0" applyFont="1" applyAlignment="1">
      <alignment vertical="center"/>
    </xf>
    <xf numFmtId="0" fontId="45" fillId="0" borderId="516" xfId="15" applyFont="1" applyFill="1" applyBorder="1" applyAlignment="1">
      <alignment horizontal="left" vertical="center"/>
    </xf>
    <xf numFmtId="0" fontId="82" fillId="17" borderId="534" xfId="15" applyFont="1" applyFill="1" applyBorder="1" applyAlignment="1">
      <alignment horizontal="left" vertical="center"/>
    </xf>
    <xf numFmtId="0" fontId="46" fillId="0" borderId="469" xfId="1" applyFont="1" applyFill="1" applyBorder="1" applyAlignment="1">
      <alignment horizontal="center" vertical="center"/>
    </xf>
    <xf numFmtId="0" fontId="46" fillId="0" borderId="486" xfId="1" applyFont="1" applyFill="1" applyBorder="1" applyAlignment="1">
      <alignment horizontal="center" vertical="center"/>
    </xf>
    <xf numFmtId="0" fontId="104" fillId="10" borderId="8" xfId="15" applyFont="1" applyFill="1" applyBorder="1" applyAlignment="1">
      <alignment horizontal="left" vertical="center"/>
    </xf>
    <xf numFmtId="3" fontId="38" fillId="29" borderId="426" xfId="1" applyNumberFormat="1" applyFont="1" applyFill="1" applyBorder="1" applyAlignment="1">
      <alignment horizontal="center" vertical="center"/>
    </xf>
    <xf numFmtId="0" fontId="104" fillId="27" borderId="8" xfId="15" applyFont="1" applyFill="1" applyBorder="1" applyAlignment="1">
      <alignment horizontal="left" vertical="center"/>
    </xf>
    <xf numFmtId="0" fontId="59" fillId="27" borderId="8" xfId="1" applyFont="1" applyFill="1" applyBorder="1" applyAlignment="1">
      <alignment horizontal="center"/>
    </xf>
    <xf numFmtId="3" fontId="17" fillId="27" borderId="514" xfId="1" applyNumberFormat="1" applyFont="1" applyFill="1" applyBorder="1" applyAlignment="1">
      <alignment horizontal="center" vertical="center"/>
    </xf>
    <xf numFmtId="0" fontId="41" fillId="29" borderId="0" xfId="1" applyFont="1" applyFill="1" applyBorder="1" applyAlignment="1">
      <alignment horizontal="center" vertical="center"/>
    </xf>
    <xf numFmtId="0" fontId="59" fillId="45" borderId="8" xfId="1" applyFont="1" applyFill="1" applyBorder="1" applyAlignment="1">
      <alignment horizontal="center" vertical="center"/>
    </xf>
    <xf numFmtId="0" fontId="23" fillId="28" borderId="604" xfId="1" applyFont="1" applyFill="1" applyBorder="1" applyAlignment="1">
      <alignment horizontal="center" vertical="center"/>
    </xf>
    <xf numFmtId="0" fontId="23" fillId="32" borderId="17" xfId="1" applyFont="1" applyFill="1" applyBorder="1" applyAlignment="1">
      <alignment horizontal="center" vertical="center"/>
    </xf>
    <xf numFmtId="0" fontId="23" fillId="30" borderId="338" xfId="1" applyFont="1" applyFill="1" applyBorder="1" applyAlignment="1">
      <alignment horizontal="center" vertical="center"/>
    </xf>
    <xf numFmtId="0" fontId="23" fillId="45" borderId="21" xfId="1" applyFont="1" applyFill="1" applyBorder="1" applyAlignment="1">
      <alignment horizontal="center" vertical="center"/>
    </xf>
    <xf numFmtId="0" fontId="43" fillId="34" borderId="286" xfId="1" applyFont="1" applyFill="1" applyBorder="1" applyAlignment="1">
      <alignment horizontal="center" vertical="center"/>
    </xf>
    <xf numFmtId="0" fontId="104" fillId="33" borderId="0" xfId="15" applyFont="1" applyFill="1" applyBorder="1" applyAlignment="1">
      <alignment horizontal="left" vertical="center"/>
    </xf>
    <xf numFmtId="0" fontId="110" fillId="20" borderId="8" xfId="15" applyFont="1" applyFill="1" applyBorder="1" applyAlignment="1">
      <alignment horizontal="left" vertical="center"/>
    </xf>
    <xf numFmtId="0" fontId="115" fillId="29" borderId="0" xfId="1" applyFont="1" applyFill="1" applyBorder="1" applyAlignment="1">
      <alignment horizontal="left" vertical="center"/>
    </xf>
    <xf numFmtId="0" fontId="82" fillId="28" borderId="8" xfId="15" applyFont="1" applyFill="1" applyBorder="1" applyAlignment="1">
      <alignment horizontal="left" vertical="center"/>
    </xf>
    <xf numFmtId="0" fontId="73" fillId="29" borderId="8" xfId="1" applyFont="1" applyFill="1" applyBorder="1" applyAlignment="1">
      <alignment horizontal="left" vertical="center"/>
    </xf>
    <xf numFmtId="0" fontId="112" fillId="29" borderId="8" xfId="15" applyFont="1" applyFill="1" applyBorder="1" applyAlignment="1">
      <alignment horizontal="left" vertical="center"/>
    </xf>
    <xf numFmtId="0" fontId="115" fillId="45" borderId="8" xfId="1" applyFont="1" applyFill="1" applyBorder="1" applyAlignment="1">
      <alignment horizontal="left" vertical="center"/>
    </xf>
    <xf numFmtId="0" fontId="104" fillId="34" borderId="489" xfId="15" applyFont="1" applyFill="1" applyBorder="1" applyAlignment="1">
      <alignment horizontal="left" vertical="center"/>
    </xf>
    <xf numFmtId="0" fontId="109" fillId="36" borderId="0" xfId="15" applyFont="1" applyFill="1" applyBorder="1" applyAlignment="1">
      <alignment horizontal="left" vertical="center"/>
    </xf>
    <xf numFmtId="0" fontId="104" fillId="34" borderId="380" xfId="15" applyFont="1" applyFill="1" applyBorder="1" applyAlignment="1">
      <alignment horizontal="left" vertical="center"/>
    </xf>
    <xf numFmtId="0" fontId="115" fillId="34" borderId="8" xfId="1" applyFont="1" applyFill="1" applyBorder="1" applyAlignment="1">
      <alignment horizontal="left" vertical="center"/>
    </xf>
    <xf numFmtId="0" fontId="112" fillId="35" borderId="8" xfId="15" applyFont="1" applyFill="1" applyBorder="1" applyAlignment="1">
      <alignment horizontal="left" vertical="center"/>
    </xf>
    <xf numFmtId="0" fontId="112" fillId="34" borderId="0" xfId="15" applyFont="1" applyFill="1" applyBorder="1" applyAlignment="1">
      <alignment horizontal="left" vertical="center"/>
    </xf>
    <xf numFmtId="0" fontId="59" fillId="39" borderId="0" xfId="1" applyFont="1" applyFill="1" applyBorder="1" applyAlignment="1">
      <alignment horizontal="center"/>
    </xf>
    <xf numFmtId="0" fontId="41" fillId="45" borderId="356" xfId="1" applyFont="1" applyFill="1" applyBorder="1" applyAlignment="1">
      <alignment horizontal="center" vertical="center"/>
    </xf>
    <xf numFmtId="3" fontId="39" fillId="30" borderId="514" xfId="1" applyNumberFormat="1" applyFont="1" applyFill="1" applyBorder="1" applyAlignment="1">
      <alignment horizontal="center" vertical="center"/>
    </xf>
    <xf numFmtId="3" fontId="39" fillId="20" borderId="508" xfId="1" applyNumberFormat="1" applyFont="1" applyFill="1" applyBorder="1" applyAlignment="1">
      <alignment horizontal="center" vertical="center"/>
    </xf>
    <xf numFmtId="3" fontId="39" fillId="20" borderId="491" xfId="1" applyNumberFormat="1" applyFont="1" applyFill="1" applyBorder="1" applyAlignment="1">
      <alignment horizontal="center" vertical="center"/>
    </xf>
    <xf numFmtId="3" fontId="17" fillId="28" borderId="491" xfId="1" applyNumberFormat="1" applyFont="1" applyFill="1" applyBorder="1" applyAlignment="1">
      <alignment horizontal="center" vertical="center"/>
    </xf>
    <xf numFmtId="3" fontId="39" fillId="45" borderId="491" xfId="1" applyNumberFormat="1" applyFont="1" applyFill="1" applyBorder="1" applyAlignment="1">
      <alignment horizontal="center" vertical="center"/>
    </xf>
    <xf numFmtId="3" fontId="39" fillId="34" borderId="491" xfId="1" applyNumberFormat="1" applyFont="1" applyFill="1" applyBorder="1" applyAlignment="1">
      <alignment horizontal="center" vertical="center"/>
    </xf>
    <xf numFmtId="3" fontId="39" fillId="37" borderId="386" xfId="1" applyNumberFormat="1" applyFont="1" applyFill="1" applyBorder="1" applyAlignment="1">
      <alignment horizontal="center" vertical="center"/>
    </xf>
    <xf numFmtId="3" fontId="17" fillId="34" borderId="470" xfId="1" applyNumberFormat="1" applyFont="1" applyFill="1" applyBorder="1" applyAlignment="1">
      <alignment horizontal="center" vertical="center"/>
    </xf>
    <xf numFmtId="3" fontId="39" fillId="36" borderId="386" xfId="1" applyNumberFormat="1" applyFont="1" applyFill="1" applyBorder="1" applyAlignment="1">
      <alignment horizontal="center" vertical="center"/>
    </xf>
    <xf numFmtId="3" fontId="39" fillId="34" borderId="470" xfId="1" applyNumberFormat="1" applyFont="1" applyFill="1" applyBorder="1" applyAlignment="1">
      <alignment horizontal="center" vertical="center"/>
    </xf>
    <xf numFmtId="3" fontId="39" fillId="35" borderId="417" xfId="1" applyNumberFormat="1" applyFont="1" applyFill="1" applyBorder="1" applyAlignment="1">
      <alignment horizontal="center" vertical="center"/>
    </xf>
    <xf numFmtId="3" fontId="38" fillId="0" borderId="491" xfId="1" applyNumberFormat="1" applyFont="1" applyFill="1" applyBorder="1" applyAlignment="1">
      <alignment horizontal="center" vertical="center" shrinkToFit="1"/>
    </xf>
    <xf numFmtId="3" fontId="38" fillId="8" borderId="491" xfId="1" applyNumberFormat="1" applyFont="1" applyFill="1" applyBorder="1" applyAlignment="1">
      <alignment horizontal="center" vertical="center"/>
    </xf>
    <xf numFmtId="3" fontId="38" fillId="30" borderId="514" xfId="1" applyNumberFormat="1" applyFont="1" applyFill="1" applyBorder="1" applyAlignment="1">
      <alignment horizontal="left" vertical="center"/>
    </xf>
    <xf numFmtId="3" fontId="38" fillId="20" borderId="508" xfId="1" applyNumberFormat="1" applyFont="1" applyFill="1" applyBorder="1" applyAlignment="1">
      <alignment horizontal="left" vertical="center"/>
    </xf>
    <xf numFmtId="3" fontId="38" fillId="45" borderId="491" xfId="1" applyNumberFormat="1" applyFont="1" applyFill="1" applyBorder="1" applyAlignment="1">
      <alignment horizontal="left" vertical="center"/>
    </xf>
    <xf numFmtId="3" fontId="38" fillId="34" borderId="470" xfId="1" applyNumberFormat="1" applyFont="1" applyFill="1" applyBorder="1" applyAlignment="1">
      <alignment horizontal="left" vertical="center"/>
    </xf>
    <xf numFmtId="3" fontId="38" fillId="36" borderId="386" xfId="1" applyNumberFormat="1" applyFont="1" applyFill="1" applyBorder="1" applyAlignment="1">
      <alignment horizontal="left" vertical="center"/>
    </xf>
    <xf numFmtId="3" fontId="38" fillId="35" borderId="459" xfId="1" applyNumberFormat="1" applyFont="1" applyFill="1" applyBorder="1" applyAlignment="1">
      <alignment horizontal="left" vertical="center"/>
    </xf>
    <xf numFmtId="3" fontId="38" fillId="39" borderId="386" xfId="1" applyNumberFormat="1" applyFont="1" applyFill="1" applyBorder="1" applyAlignment="1">
      <alignment horizontal="left" vertical="center"/>
    </xf>
    <xf numFmtId="3" fontId="38" fillId="20" borderId="508" xfId="1" applyNumberFormat="1" applyFont="1" applyFill="1" applyBorder="1" applyAlignment="1">
      <alignment horizontal="center" vertical="center"/>
    </xf>
    <xf numFmtId="3" fontId="38" fillId="29" borderId="508" xfId="1" applyNumberFormat="1" applyFont="1" applyFill="1" applyBorder="1" applyAlignment="1">
      <alignment horizontal="center" vertical="center"/>
    </xf>
    <xf numFmtId="3" fontId="150" fillId="28" borderId="491" xfId="1" applyNumberFormat="1" applyFont="1" applyFill="1" applyBorder="1" applyAlignment="1">
      <alignment horizontal="center" vertical="center"/>
    </xf>
    <xf numFmtId="3" fontId="38" fillId="45" borderId="491" xfId="1" applyNumberFormat="1" applyFont="1" applyFill="1" applyBorder="1" applyAlignment="1">
      <alignment horizontal="center" vertical="center"/>
    </xf>
    <xf numFmtId="3" fontId="38" fillId="34" borderId="470" xfId="1" applyNumberFormat="1" applyFont="1" applyFill="1" applyBorder="1" applyAlignment="1">
      <alignment horizontal="center" vertical="center"/>
    </xf>
    <xf numFmtId="3" fontId="38" fillId="36" borderId="386" xfId="1" applyNumberFormat="1" applyFont="1" applyFill="1" applyBorder="1" applyAlignment="1">
      <alignment horizontal="center" vertical="center"/>
    </xf>
    <xf numFmtId="3" fontId="150" fillId="39" borderId="386" xfId="1" applyNumberFormat="1" applyFont="1" applyFill="1" applyBorder="1" applyAlignment="1">
      <alignment horizontal="center" vertical="center"/>
    </xf>
    <xf numFmtId="3" fontId="17" fillId="20" borderId="514" xfId="1" applyNumberFormat="1" applyFont="1" applyFill="1" applyBorder="1" applyAlignment="1">
      <alignment horizontal="center" vertical="center"/>
    </xf>
    <xf numFmtId="3" fontId="38" fillId="45" borderId="514" xfId="1" applyNumberFormat="1" applyFont="1" applyFill="1" applyBorder="1" applyAlignment="1">
      <alignment horizontal="center" vertical="center"/>
    </xf>
    <xf numFmtId="3" fontId="38" fillId="36" borderId="509" xfId="1" applyNumberFormat="1" applyFont="1" applyFill="1" applyBorder="1" applyAlignment="1">
      <alignment horizontal="center" vertical="center"/>
    </xf>
    <xf numFmtId="3" fontId="17" fillId="39" borderId="509" xfId="1" applyNumberFormat="1" applyFont="1" applyFill="1" applyBorder="1" applyAlignment="1">
      <alignment horizontal="center" vertical="center"/>
    </xf>
    <xf numFmtId="0" fontId="17" fillId="30" borderId="514" xfId="1" applyFont="1" applyFill="1" applyBorder="1" applyAlignment="1">
      <alignment horizontal="center" vertical="center"/>
    </xf>
    <xf numFmtId="0" fontId="17" fillId="20" borderId="508" xfId="1" applyFont="1" applyFill="1" applyBorder="1" applyAlignment="1">
      <alignment horizontal="center" vertical="center"/>
    </xf>
    <xf numFmtId="0" fontId="17" fillId="45" borderId="491" xfId="1" applyFont="1" applyFill="1" applyBorder="1" applyAlignment="1">
      <alignment horizontal="center" vertical="center"/>
    </xf>
    <xf numFmtId="0" fontId="17" fillId="34" borderId="470" xfId="1" applyFont="1" applyFill="1" applyBorder="1" applyAlignment="1">
      <alignment horizontal="center" vertical="center"/>
    </xf>
    <xf numFmtId="0" fontId="17" fillId="36" borderId="386" xfId="1" applyFont="1" applyFill="1" applyBorder="1" applyAlignment="1">
      <alignment horizontal="center" vertical="center"/>
    </xf>
    <xf numFmtId="0" fontId="150" fillId="39" borderId="386" xfId="1" applyFont="1" applyFill="1" applyBorder="1" applyAlignment="1">
      <alignment horizontal="center" vertical="center"/>
    </xf>
    <xf numFmtId="172" fontId="38" fillId="30" borderId="514" xfId="1" applyNumberFormat="1" applyFont="1" applyFill="1" applyBorder="1" applyAlignment="1">
      <alignment horizontal="center" vertical="center"/>
    </xf>
    <xf numFmtId="172" fontId="33" fillId="20" borderId="508" xfId="1" applyNumberFormat="1" applyFont="1" applyFill="1" applyBorder="1" applyAlignment="1">
      <alignment horizontal="center" vertical="center"/>
    </xf>
    <xf numFmtId="172" fontId="17" fillId="29" borderId="491" xfId="1" applyNumberFormat="1" applyFont="1" applyFill="1" applyBorder="1" applyAlignment="1">
      <alignment horizontal="center" vertical="center"/>
    </xf>
    <xf numFmtId="172" fontId="38" fillId="45" borderId="491" xfId="1" applyNumberFormat="1" applyFont="1" applyFill="1" applyBorder="1" applyAlignment="1">
      <alignment horizontal="center" vertical="center"/>
    </xf>
    <xf numFmtId="172" fontId="38" fillId="34" borderId="470" xfId="1" applyNumberFormat="1" applyFont="1" applyFill="1" applyBorder="1" applyAlignment="1">
      <alignment horizontal="center" vertical="center"/>
    </xf>
    <xf numFmtId="172" fontId="38" fillId="36" borderId="386" xfId="1" applyNumberFormat="1" applyFont="1" applyFill="1" applyBorder="1" applyAlignment="1">
      <alignment horizontal="center" vertical="center"/>
    </xf>
    <xf numFmtId="172" fontId="38" fillId="35" borderId="459" xfId="1" applyNumberFormat="1" applyFont="1" applyFill="1" applyBorder="1" applyAlignment="1">
      <alignment horizontal="center" vertical="center"/>
    </xf>
    <xf numFmtId="172" fontId="38" fillId="39" borderId="386" xfId="1" applyNumberFormat="1" applyFont="1" applyFill="1" applyBorder="1" applyAlignment="1">
      <alignment horizontal="center" vertical="center"/>
    </xf>
    <xf numFmtId="14" fontId="38" fillId="30" borderId="514" xfId="1" applyNumberFormat="1" applyFont="1" applyFill="1" applyBorder="1" applyAlignment="1">
      <alignment horizontal="center" vertical="center"/>
    </xf>
    <xf numFmtId="14" fontId="38" fillId="20" borderId="508" xfId="1" applyNumberFormat="1" applyFont="1" applyFill="1" applyBorder="1" applyAlignment="1">
      <alignment horizontal="center" vertical="center"/>
    </xf>
    <xf numFmtId="14" fontId="38" fillId="28" borderId="386" xfId="1" quotePrefix="1" applyNumberFormat="1" applyFont="1" applyFill="1" applyBorder="1" applyAlignment="1">
      <alignment horizontal="center" vertical="center"/>
    </xf>
    <xf numFmtId="14" fontId="38" fillId="45" borderId="491" xfId="1" applyNumberFormat="1" applyFont="1" applyFill="1" applyBorder="1" applyAlignment="1">
      <alignment horizontal="center" vertical="center"/>
    </xf>
    <xf numFmtId="14" fontId="38" fillId="34" borderId="470" xfId="1" applyNumberFormat="1" applyFont="1" applyFill="1" applyBorder="1" applyAlignment="1">
      <alignment horizontal="center" vertical="center"/>
    </xf>
    <xf numFmtId="14" fontId="38" fillId="36" borderId="386" xfId="1" applyNumberFormat="1" applyFont="1" applyFill="1" applyBorder="1" applyAlignment="1">
      <alignment horizontal="center" vertical="center"/>
    </xf>
    <xf numFmtId="14" fontId="38" fillId="35" borderId="459" xfId="1" applyNumberFormat="1" applyFont="1" applyFill="1" applyBorder="1" applyAlignment="1">
      <alignment horizontal="center" vertical="center"/>
    </xf>
    <xf numFmtId="14" fontId="38" fillId="39" borderId="386" xfId="1" applyNumberFormat="1" applyFont="1" applyFill="1" applyBorder="1" applyAlignment="1">
      <alignment horizontal="center" vertical="center"/>
    </xf>
    <xf numFmtId="2" fontId="38" fillId="45" borderId="488" xfId="1" applyNumberFormat="1" applyFont="1" applyFill="1" applyBorder="1" applyAlignment="1">
      <alignment horizontal="center" vertical="center"/>
    </xf>
    <xf numFmtId="3" fontId="38" fillId="0" borderId="567" xfId="1" applyNumberFormat="1" applyFont="1" applyFill="1" applyBorder="1" applyAlignment="1">
      <alignment horizontal="center" vertical="center"/>
    </xf>
    <xf numFmtId="3" fontId="41" fillId="11" borderId="0" xfId="1" applyNumberFormat="1" applyFont="1" applyFill="1" applyBorder="1" applyAlignment="1">
      <alignment horizontal="center" vertical="center"/>
    </xf>
    <xf numFmtId="166" fontId="33" fillId="0" borderId="395" xfId="1" applyNumberFormat="1" applyFont="1" applyFill="1" applyBorder="1" applyAlignment="1">
      <alignment horizontal="center" vertical="center"/>
    </xf>
    <xf numFmtId="3" fontId="17" fillId="11" borderId="0" xfId="1" applyNumberFormat="1" applyFont="1" applyFill="1" applyBorder="1" applyAlignment="1">
      <alignment horizontal="center" vertical="center"/>
    </xf>
    <xf numFmtId="3" fontId="17" fillId="11" borderId="367" xfId="1" applyNumberFormat="1" applyFont="1" applyFill="1" applyBorder="1" applyAlignment="1">
      <alignment horizontal="center" vertical="center"/>
    </xf>
    <xf numFmtId="3" fontId="38" fillId="11" borderId="395" xfId="1" applyNumberFormat="1" applyFont="1" applyFill="1" applyBorder="1" applyAlignment="1">
      <alignment horizontal="center" vertical="center"/>
    </xf>
    <xf numFmtId="3" fontId="39" fillId="11" borderId="395" xfId="1" applyNumberFormat="1" applyFont="1" applyFill="1" applyBorder="1" applyAlignment="1">
      <alignment horizontal="center" vertical="center"/>
    </xf>
    <xf numFmtId="0" fontId="104" fillId="11" borderId="371" xfId="15" applyFont="1" applyFill="1" applyBorder="1" applyAlignment="1">
      <alignment horizontal="left" vertical="center"/>
    </xf>
    <xf numFmtId="0" fontId="45" fillId="11" borderId="371" xfId="1" applyFont="1" applyFill="1" applyBorder="1" applyAlignment="1">
      <alignment horizontal="center" vertical="center"/>
    </xf>
    <xf numFmtId="3" fontId="17" fillId="11" borderId="397" xfId="1" applyNumberFormat="1" applyFont="1" applyFill="1" applyBorder="1" applyAlignment="1">
      <alignment horizontal="center" vertical="center"/>
    </xf>
    <xf numFmtId="3" fontId="6" fillId="0" borderId="0" xfId="15" applyNumberFormat="1" applyFill="1" applyAlignment="1">
      <alignment horizontal="left" vertical="top"/>
    </xf>
    <xf numFmtId="3" fontId="63" fillId="0" borderId="567" xfId="1" applyNumberFormat="1" applyFont="1" applyFill="1" applyBorder="1" applyAlignment="1">
      <alignment horizontal="center" vertical="center"/>
    </xf>
    <xf numFmtId="0" fontId="104" fillId="11" borderId="567" xfId="15" applyFont="1" applyFill="1" applyBorder="1" applyAlignment="1">
      <alignment horizontal="left" vertical="center"/>
    </xf>
    <xf numFmtId="49" fontId="63" fillId="11" borderId="567" xfId="1" quotePrefix="1" applyNumberFormat="1" applyFont="1" applyFill="1" applyBorder="1" applyAlignment="1">
      <alignment horizontal="center" vertical="center"/>
    </xf>
    <xf numFmtId="0" fontId="63" fillId="25" borderId="491" xfId="1" applyFont="1" applyFill="1" applyBorder="1" applyAlignment="1">
      <alignment horizontal="left" vertical="center"/>
    </xf>
    <xf numFmtId="49" fontId="63" fillId="25" borderId="491" xfId="1" applyNumberFormat="1" applyFont="1" applyFill="1" applyBorder="1" applyAlignment="1">
      <alignment horizontal="center" vertical="center"/>
    </xf>
    <xf numFmtId="49" fontId="63" fillId="25" borderId="64" xfId="1" applyNumberFormat="1" applyFont="1" applyFill="1" applyBorder="1" applyAlignment="1">
      <alignment horizontal="center" vertical="center"/>
    </xf>
    <xf numFmtId="49" fontId="63" fillId="28" borderId="508" xfId="1" applyNumberFormat="1" applyFont="1" applyFill="1" applyBorder="1" applyAlignment="1">
      <alignment horizontal="center" vertical="center"/>
    </xf>
    <xf numFmtId="49" fontId="63" fillId="28" borderId="509" xfId="1" applyNumberFormat="1" applyFont="1" applyFill="1" applyBorder="1" applyAlignment="1">
      <alignment horizontal="center" vertical="center"/>
    </xf>
    <xf numFmtId="49" fontId="63" fillId="28" borderId="491" xfId="1" applyNumberFormat="1" applyFont="1" applyFill="1" applyBorder="1" applyAlignment="1">
      <alignment horizontal="center" vertical="center"/>
    </xf>
    <xf numFmtId="3" fontId="38" fillId="35" borderId="508" xfId="1" applyNumberFormat="1" applyFont="1" applyFill="1" applyBorder="1" applyAlignment="1">
      <alignment horizontal="center" vertical="center"/>
    </xf>
    <xf numFmtId="3" fontId="38" fillId="24" borderId="508" xfId="1" applyNumberFormat="1" applyFont="1" applyFill="1" applyBorder="1" applyAlignment="1">
      <alignment horizontal="center" vertical="center"/>
    </xf>
    <xf numFmtId="3" fontId="38" fillId="4" borderId="508" xfId="1" applyNumberFormat="1" applyFont="1" applyFill="1" applyBorder="1" applyAlignment="1">
      <alignment horizontal="center" vertical="center"/>
    </xf>
    <xf numFmtId="3" fontId="38" fillId="4" borderId="494" xfId="1" applyNumberFormat="1" applyFont="1" applyFill="1" applyBorder="1" applyAlignment="1">
      <alignment horizontal="center" vertical="center"/>
    </xf>
    <xf numFmtId="3" fontId="38" fillId="4" borderId="509" xfId="1" applyNumberFormat="1" applyFont="1" applyFill="1" applyBorder="1" applyAlignment="1">
      <alignment horizontal="center" vertical="center"/>
    </xf>
    <xf numFmtId="3" fontId="38" fillId="46" borderId="386" xfId="1" applyNumberFormat="1" applyFont="1" applyFill="1" applyBorder="1" applyAlignment="1">
      <alignment horizontal="center" vertical="center"/>
    </xf>
    <xf numFmtId="49" fontId="63" fillId="46" borderId="64" xfId="1" applyNumberFormat="1" applyFont="1" applyFill="1" applyBorder="1" applyAlignment="1">
      <alignment horizontal="center" vertical="center"/>
    </xf>
    <xf numFmtId="3" fontId="38" fillId="45" borderId="386" xfId="1" applyNumberFormat="1" applyFont="1" applyFill="1" applyBorder="1" applyAlignment="1">
      <alignment horizontal="center" vertical="center"/>
    </xf>
    <xf numFmtId="49" fontId="63" fillId="45" borderId="64" xfId="1" applyNumberFormat="1" applyFont="1" applyFill="1" applyBorder="1" applyAlignment="1">
      <alignment horizontal="center" vertical="center"/>
    </xf>
    <xf numFmtId="3" fontId="38" fillId="17" borderId="508" xfId="1" applyNumberFormat="1" applyFont="1" applyFill="1" applyBorder="1" applyAlignment="1">
      <alignment horizontal="center" vertical="center"/>
    </xf>
    <xf numFmtId="0" fontId="151" fillId="0" borderId="114" xfId="1" applyFont="1" applyFill="1" applyBorder="1" applyAlignment="1">
      <alignment horizontal="center" vertical="center"/>
    </xf>
    <xf numFmtId="0" fontId="15" fillId="0" borderId="108" xfId="1" applyFont="1" applyFill="1" applyBorder="1" applyAlignment="1">
      <alignment horizontal="right" vertical="center"/>
    </xf>
    <xf numFmtId="0" fontId="151" fillId="0" borderId="115" xfId="1" applyFont="1" applyFill="1" applyBorder="1" applyAlignment="1">
      <alignment horizontal="right" vertical="center"/>
    </xf>
    <xf numFmtId="0" fontId="104" fillId="4" borderId="356" xfId="15" applyFont="1" applyFill="1" applyBorder="1" applyAlignment="1">
      <alignment horizontal="left" vertical="center"/>
    </xf>
    <xf numFmtId="0" fontId="104" fillId="4" borderId="380" xfId="15" applyFont="1" applyFill="1" applyBorder="1" applyAlignment="1">
      <alignment horizontal="left" vertical="center"/>
    </xf>
    <xf numFmtId="0" fontId="112" fillId="4" borderId="356" xfId="15" applyFont="1" applyFill="1" applyBorder="1" applyAlignment="1">
      <alignment horizontal="left" vertical="center"/>
    </xf>
    <xf numFmtId="0" fontId="104" fillId="53" borderId="8" xfId="15" applyFont="1" applyFill="1" applyBorder="1" applyAlignment="1">
      <alignment horizontal="left" vertical="center"/>
    </xf>
    <xf numFmtId="49" fontId="63" fillId="25" borderId="509" xfId="1" applyNumberFormat="1" applyFont="1" applyFill="1" applyBorder="1" applyAlignment="1">
      <alignment horizontal="center" vertical="center"/>
    </xf>
    <xf numFmtId="3" fontId="38" fillId="24" borderId="567" xfId="1" applyNumberFormat="1" applyFont="1" applyFill="1" applyBorder="1" applyAlignment="1">
      <alignment horizontal="center" vertical="center"/>
    </xf>
    <xf numFmtId="3" fontId="38" fillId="17" borderId="509" xfId="1" applyNumberFormat="1" applyFont="1" applyFill="1" applyBorder="1" applyAlignment="1">
      <alignment horizontal="center" vertical="center"/>
    </xf>
    <xf numFmtId="3" fontId="38" fillId="2" borderId="567" xfId="1" applyNumberFormat="1" applyFont="1" applyFill="1" applyBorder="1" applyAlignment="1">
      <alignment horizontal="center" vertical="center"/>
    </xf>
    <xf numFmtId="3" fontId="38" fillId="4" borderId="567" xfId="1" applyNumberFormat="1" applyFont="1" applyFill="1" applyBorder="1" applyAlignment="1">
      <alignment horizontal="center" vertical="center"/>
    </xf>
    <xf numFmtId="49" fontId="63" fillId="56" borderId="567" xfId="1" applyNumberFormat="1" applyFont="1" applyFill="1" applyBorder="1" applyAlignment="1">
      <alignment horizontal="center" vertical="center"/>
    </xf>
    <xf numFmtId="49" fontId="63" fillId="56" borderId="509" xfId="1" applyNumberFormat="1" applyFont="1" applyFill="1" applyBorder="1" applyAlignment="1">
      <alignment horizontal="center" vertical="center"/>
    </xf>
    <xf numFmtId="49" fontId="63" fillId="25" borderId="567" xfId="1" applyNumberFormat="1" applyFont="1" applyFill="1" applyBorder="1" applyAlignment="1">
      <alignment horizontal="center" vertical="center"/>
    </xf>
    <xf numFmtId="3" fontId="74" fillId="15" borderId="509" xfId="1" applyNumberFormat="1" applyFont="1" applyFill="1" applyBorder="1" applyAlignment="1">
      <alignment horizontal="center" vertical="center"/>
    </xf>
    <xf numFmtId="0" fontId="63" fillId="25" borderId="0" xfId="1" applyFont="1" applyFill="1" applyBorder="1" applyAlignment="1">
      <alignment horizontal="left" vertical="center"/>
    </xf>
    <xf numFmtId="0" fontId="63" fillId="4" borderId="356" xfId="1" applyFont="1" applyFill="1" applyBorder="1" applyAlignment="1">
      <alignment horizontal="left" vertical="center"/>
    </xf>
    <xf numFmtId="49" fontId="63" fillId="34" borderId="491" xfId="1" applyNumberFormat="1" applyFont="1" applyFill="1" applyBorder="1" applyAlignment="1">
      <alignment horizontal="center" vertical="center"/>
    </xf>
    <xf numFmtId="0" fontId="104" fillId="34" borderId="491" xfId="15" applyFont="1" applyFill="1" applyBorder="1" applyAlignment="1">
      <alignment horizontal="left" vertical="center"/>
    </xf>
    <xf numFmtId="49" fontId="63" fillId="4" borderId="509" xfId="1" applyNumberFormat="1" applyFont="1" applyFill="1" applyBorder="1" applyAlignment="1">
      <alignment horizontal="center" vertical="center"/>
    </xf>
    <xf numFmtId="49" fontId="63" fillId="4" borderId="567" xfId="1" applyNumberFormat="1" applyFont="1" applyFill="1" applyBorder="1" applyAlignment="1">
      <alignment horizontal="center" vertical="center"/>
    </xf>
    <xf numFmtId="0" fontId="104" fillId="52" borderId="356" xfId="15" applyFont="1" applyFill="1" applyBorder="1" applyAlignment="1">
      <alignment horizontal="left" vertical="center"/>
    </xf>
    <xf numFmtId="49" fontId="63" fillId="24" borderId="567" xfId="1" applyNumberFormat="1" applyFont="1" applyFill="1" applyBorder="1" applyAlignment="1">
      <alignment horizontal="center" vertical="center"/>
    </xf>
    <xf numFmtId="49" fontId="63" fillId="24" borderId="509" xfId="1" applyNumberFormat="1" applyFont="1" applyFill="1" applyBorder="1" applyAlignment="1">
      <alignment horizontal="center" vertical="center"/>
    </xf>
    <xf numFmtId="3" fontId="74" fillId="4" borderId="482" xfId="1" applyNumberFormat="1" applyFont="1" applyFill="1" applyBorder="1" applyAlignment="1">
      <alignment horizontal="center" vertical="center"/>
    </xf>
    <xf numFmtId="0" fontId="104" fillId="27" borderId="567" xfId="15" applyFont="1" applyFill="1" applyBorder="1" applyAlignment="1">
      <alignment horizontal="left" vertical="center"/>
    </xf>
    <xf numFmtId="0" fontId="63" fillId="25" borderId="386" xfId="1" applyFont="1" applyFill="1" applyBorder="1" applyAlignment="1">
      <alignment horizontal="left" vertical="center"/>
    </xf>
    <xf numFmtId="0" fontId="104" fillId="25" borderId="491" xfId="15" applyFont="1" applyFill="1" applyBorder="1" applyAlignment="1">
      <alignment horizontal="left" vertical="center"/>
    </xf>
    <xf numFmtId="0" fontId="63" fillId="25" borderId="509" xfId="1" applyFont="1" applyFill="1" applyBorder="1" applyAlignment="1">
      <alignment horizontal="left" vertical="center"/>
    </xf>
    <xf numFmtId="49" fontId="63" fillId="25" borderId="509" xfId="1" applyNumberFormat="1" applyFont="1" applyFill="1" applyBorder="1" applyAlignment="1">
      <alignment horizontal="left" vertical="center"/>
    </xf>
    <xf numFmtId="49" fontId="63" fillId="52" borderId="491" xfId="1" applyNumberFormat="1" applyFont="1" applyFill="1" applyBorder="1" applyAlignment="1">
      <alignment horizontal="left" vertical="center"/>
    </xf>
    <xf numFmtId="0" fontId="104" fillId="62" borderId="491" xfId="15" applyFont="1" applyFill="1" applyBorder="1" applyAlignment="1">
      <alignment horizontal="left" vertical="center"/>
    </xf>
    <xf numFmtId="0" fontId="109" fillId="4" borderId="386" xfId="15" applyFont="1" applyFill="1" applyBorder="1" applyAlignment="1">
      <alignment horizontal="left" vertical="center"/>
    </xf>
    <xf numFmtId="0" fontId="104" fillId="4" borderId="567" xfId="15" applyFont="1" applyFill="1" applyBorder="1" applyAlignment="1">
      <alignment horizontal="left" vertical="center"/>
    </xf>
    <xf numFmtId="0" fontId="104" fillId="56" borderId="356" xfId="15" applyFont="1" applyFill="1" applyBorder="1" applyAlignment="1">
      <alignment horizontal="left" vertical="center"/>
    </xf>
    <xf numFmtId="49" fontId="63" fillId="17" borderId="491" xfId="1" quotePrefix="1" applyNumberFormat="1" applyFont="1" applyFill="1" applyBorder="1" applyAlignment="1">
      <alignment horizontal="center" vertical="center"/>
    </xf>
    <xf numFmtId="49" fontId="63" fillId="52" borderId="64" xfId="1" applyNumberFormat="1" applyFont="1" applyFill="1" applyBorder="1" applyAlignment="1">
      <alignment horizontal="center" vertical="center"/>
    </xf>
    <xf numFmtId="0" fontId="45" fillId="0" borderId="0" xfId="1" applyFont="1" applyAlignment="1">
      <alignment horizontal="right" vertical="center"/>
    </xf>
    <xf numFmtId="171" fontId="58" fillId="0" borderId="0" xfId="1" quotePrefix="1" applyNumberFormat="1" applyFont="1" applyBorder="1" applyAlignment="1">
      <alignment horizontal="center" vertical="center"/>
    </xf>
    <xf numFmtId="49" fontId="63" fillId="25" borderId="608" xfId="1" applyNumberFormat="1" applyFont="1" applyFill="1" applyBorder="1" applyAlignment="1">
      <alignment horizontal="center" vertical="center"/>
    </xf>
    <xf numFmtId="3" fontId="38" fillId="24" borderId="608" xfId="1" applyNumberFormat="1" applyFont="1" applyFill="1" applyBorder="1" applyAlignment="1">
      <alignment horizontal="center" vertical="center"/>
    </xf>
    <xf numFmtId="3" fontId="63" fillId="0" borderId="608" xfId="1" applyNumberFormat="1" applyFont="1" applyFill="1" applyBorder="1" applyAlignment="1">
      <alignment horizontal="center" vertical="center"/>
    </xf>
    <xf numFmtId="0" fontId="104" fillId="25" borderId="605" xfId="15" applyFont="1" applyFill="1" applyBorder="1" applyAlignment="1">
      <alignment horizontal="left" vertical="center"/>
    </xf>
    <xf numFmtId="3" fontId="63" fillId="11" borderId="567" xfId="1" applyNumberFormat="1" applyFont="1" applyFill="1" applyBorder="1" applyAlignment="1">
      <alignment horizontal="center" vertical="center"/>
    </xf>
    <xf numFmtId="166" fontId="53" fillId="11" borderId="509" xfId="1" applyNumberFormat="1" applyFont="1" applyFill="1" applyBorder="1" applyAlignment="1">
      <alignment horizontal="center" vertical="center"/>
    </xf>
    <xf numFmtId="0" fontId="104" fillId="56" borderId="605" xfId="15" applyFont="1" applyFill="1" applyBorder="1" applyAlignment="1">
      <alignment horizontal="left" vertical="center"/>
    </xf>
    <xf numFmtId="0" fontId="104" fillId="24" borderId="606" xfId="15" applyFont="1" applyFill="1" applyBorder="1" applyAlignment="1">
      <alignment horizontal="left" vertical="center"/>
    </xf>
    <xf numFmtId="0" fontId="112" fillId="25" borderId="606" xfId="15" applyFont="1" applyFill="1" applyBorder="1" applyAlignment="1">
      <alignment horizontal="left" vertical="center"/>
    </xf>
    <xf numFmtId="0" fontId="104" fillId="46" borderId="77" xfId="15" applyFont="1" applyFill="1" applyBorder="1" applyAlignment="1">
      <alignment horizontal="left" vertical="center"/>
    </xf>
    <xf numFmtId="0" fontId="109" fillId="45" borderId="386" xfId="15" applyFont="1" applyFill="1" applyBorder="1" applyAlignment="1">
      <alignment horizontal="left" vertical="center"/>
    </xf>
    <xf numFmtId="0" fontId="63" fillId="28" borderId="380" xfId="1" applyFont="1" applyFill="1" applyBorder="1" applyAlignment="1">
      <alignment horizontal="left" vertical="center"/>
    </xf>
    <xf numFmtId="0" fontId="104" fillId="11" borderId="578" xfId="15" applyFont="1" applyFill="1" applyBorder="1" applyAlignment="1">
      <alignment horizontal="left" vertical="center"/>
    </xf>
    <xf numFmtId="0" fontId="112" fillId="26" borderId="8" xfId="15" applyFont="1" applyFill="1" applyBorder="1" applyAlignment="1">
      <alignment horizontal="left" vertical="center"/>
    </xf>
    <xf numFmtId="0" fontId="104" fillId="24" borderId="567" xfId="15" applyFont="1" applyFill="1" applyBorder="1" applyAlignment="1">
      <alignment horizontal="left" vertical="center"/>
    </xf>
    <xf numFmtId="0" fontId="104" fillId="37" borderId="491" xfId="15" applyFont="1" applyFill="1" applyBorder="1" applyAlignment="1">
      <alignment horizontal="left" vertical="center"/>
    </xf>
    <xf numFmtId="0" fontId="63" fillId="28" borderId="18" xfId="1" applyFont="1" applyFill="1" applyBorder="1" applyAlignment="1">
      <alignment horizontal="left" vertical="center"/>
    </xf>
    <xf numFmtId="0" fontId="109" fillId="28" borderId="508" xfId="15" applyFont="1" applyFill="1" applyBorder="1" applyAlignment="1">
      <alignment horizontal="left" vertical="center"/>
    </xf>
    <xf numFmtId="49" fontId="63" fillId="28" borderId="64" xfId="1" applyNumberFormat="1" applyFont="1" applyFill="1" applyBorder="1" applyAlignment="1">
      <alignment horizontal="center" vertical="center"/>
    </xf>
    <xf numFmtId="3" fontId="38" fillId="17" borderId="567" xfId="1" applyNumberFormat="1" applyFont="1" applyFill="1" applyBorder="1" applyAlignment="1">
      <alignment horizontal="center" vertical="center"/>
    </xf>
    <xf numFmtId="3" fontId="63" fillId="11" borderId="509" xfId="1" applyNumberFormat="1" applyFont="1" applyFill="1" applyBorder="1" applyAlignment="1">
      <alignment horizontal="center" vertical="center"/>
    </xf>
    <xf numFmtId="0" fontId="63" fillId="10" borderId="482" xfId="15" applyFont="1" applyFill="1" applyBorder="1" applyAlignment="1">
      <alignment horizontal="left" vertical="center"/>
    </xf>
    <xf numFmtId="49" fontId="63" fillId="10" borderId="55" xfId="1" applyNumberFormat="1" applyFont="1" applyFill="1" applyBorder="1" applyAlignment="1">
      <alignment horizontal="center" vertical="center"/>
    </xf>
    <xf numFmtId="49" fontId="63" fillId="10" borderId="509" xfId="1" applyNumberFormat="1" applyFont="1" applyFill="1" applyBorder="1" applyAlignment="1">
      <alignment horizontal="center" vertical="center"/>
    </xf>
    <xf numFmtId="3" fontId="74" fillId="11" borderId="509" xfId="1" applyNumberFormat="1" applyFont="1" applyFill="1" applyBorder="1" applyAlignment="1">
      <alignment horizontal="center" vertical="center"/>
    </xf>
    <xf numFmtId="3" fontId="74" fillId="10" borderId="55" xfId="1" applyNumberFormat="1" applyFont="1" applyFill="1" applyBorder="1" applyAlignment="1">
      <alignment horizontal="center" vertical="center"/>
    </xf>
    <xf numFmtId="166" fontId="53" fillId="11" borderId="64" xfId="1" applyNumberFormat="1" applyFont="1" applyFill="1" applyBorder="1" applyAlignment="1">
      <alignment horizontal="center" vertical="center"/>
    </xf>
    <xf numFmtId="166" fontId="33" fillId="11" borderId="567" xfId="1" applyNumberFormat="1" applyFont="1" applyFill="1" applyBorder="1" applyAlignment="1">
      <alignment horizontal="center" vertical="center"/>
    </xf>
    <xf numFmtId="0" fontId="112" fillId="26" borderId="567" xfId="15" applyFont="1" applyFill="1" applyBorder="1" applyAlignment="1">
      <alignment horizontal="left" vertical="center"/>
    </xf>
    <xf numFmtId="0" fontId="63" fillId="4" borderId="326" xfId="1" applyFont="1" applyFill="1" applyBorder="1" applyAlignment="1">
      <alignment horizontal="left" vertical="center"/>
    </xf>
    <xf numFmtId="0" fontId="104" fillId="62" borderId="337" xfId="15" applyFont="1" applyFill="1" applyBorder="1" applyAlignment="1">
      <alignment horizontal="left" vertical="center"/>
    </xf>
    <xf numFmtId="0" fontId="104" fillId="2" borderId="4" xfId="15" applyFont="1" applyFill="1" applyBorder="1" applyAlignment="1">
      <alignment horizontal="left" vertical="center"/>
    </xf>
    <xf numFmtId="0" fontId="63" fillId="24" borderId="608" xfId="1" applyFont="1" applyFill="1" applyBorder="1" applyAlignment="1">
      <alignment horizontal="left" vertical="center"/>
    </xf>
    <xf numFmtId="0" fontId="104" fillId="25" borderId="386" xfId="15" applyFont="1" applyFill="1" applyBorder="1" applyAlignment="1">
      <alignment horizontal="left" vertical="center"/>
    </xf>
    <xf numFmtId="0" fontId="112" fillId="4" borderId="326" xfId="15" applyFont="1" applyFill="1" applyBorder="1" applyAlignment="1">
      <alignment horizontal="left" vertical="center"/>
    </xf>
    <xf numFmtId="0" fontId="104" fillId="63" borderId="356" xfId="15" applyFont="1" applyFill="1" applyBorder="1" applyAlignment="1">
      <alignment horizontal="left" vertical="center"/>
    </xf>
    <xf numFmtId="0" fontId="104" fillId="52" borderId="326" xfId="15" applyFont="1" applyFill="1" applyBorder="1" applyAlignment="1">
      <alignment horizontal="left" vertical="center"/>
    </xf>
    <xf numFmtId="0" fontId="104" fillId="47" borderId="0" xfId="15" applyFont="1" applyFill="1" applyBorder="1" applyAlignment="1">
      <alignment horizontal="left" vertical="center"/>
    </xf>
    <xf numFmtId="0" fontId="63" fillId="52" borderId="356" xfId="1" applyFont="1" applyFill="1" applyBorder="1" applyAlignment="1">
      <alignment horizontal="left" vertical="center"/>
    </xf>
    <xf numFmtId="49" fontId="63" fillId="24" borderId="608" xfId="1" applyNumberFormat="1" applyFont="1" applyFill="1" applyBorder="1" applyAlignment="1">
      <alignment horizontal="center" vertical="center"/>
    </xf>
    <xf numFmtId="49" fontId="63" fillId="4" borderId="64" xfId="1" quotePrefix="1" applyNumberFormat="1" applyFont="1" applyFill="1" applyBorder="1" applyAlignment="1">
      <alignment horizontal="center" vertical="center"/>
    </xf>
    <xf numFmtId="49" fontId="63" fillId="47" borderId="509" xfId="1" applyNumberFormat="1" applyFont="1" applyFill="1" applyBorder="1" applyAlignment="1">
      <alignment horizontal="center" vertical="center"/>
    </xf>
    <xf numFmtId="49" fontId="63" fillId="52" borderId="491" xfId="1" applyNumberFormat="1" applyFont="1" applyFill="1" applyBorder="1" applyAlignment="1">
      <alignment horizontal="center" vertical="center"/>
    </xf>
    <xf numFmtId="49" fontId="63" fillId="10" borderId="509" xfId="1" quotePrefix="1" applyNumberFormat="1" applyFont="1" applyFill="1" applyBorder="1" applyAlignment="1">
      <alignment horizontal="center" vertical="center"/>
    </xf>
    <xf numFmtId="3" fontId="74" fillId="16" borderId="509" xfId="1" applyNumberFormat="1" applyFont="1" applyFill="1" applyBorder="1" applyAlignment="1">
      <alignment horizontal="center" vertical="center"/>
    </xf>
    <xf numFmtId="3" fontId="74" fillId="52" borderId="491" xfId="1" applyNumberFormat="1" applyFont="1" applyFill="1" applyBorder="1" applyAlignment="1">
      <alignment horizontal="center" vertical="center"/>
    </xf>
    <xf numFmtId="3" fontId="38" fillId="47" borderId="509" xfId="1" applyNumberFormat="1" applyFont="1" applyFill="1" applyBorder="1" applyAlignment="1">
      <alignment horizontal="center" vertical="center"/>
    </xf>
    <xf numFmtId="49" fontId="63" fillId="52" borderId="64" xfId="1" applyNumberFormat="1" applyFont="1" applyFill="1" applyBorder="1" applyAlignment="1">
      <alignment horizontal="left" vertical="center"/>
    </xf>
    <xf numFmtId="3" fontId="38" fillId="4" borderId="608" xfId="1" applyNumberFormat="1" applyFont="1" applyFill="1" applyBorder="1" applyAlignment="1">
      <alignment horizontal="center" vertical="center"/>
    </xf>
    <xf numFmtId="0" fontId="104" fillId="17" borderId="386" xfId="15" applyFont="1" applyFill="1" applyBorder="1" applyAlignment="1">
      <alignment horizontal="left" vertical="center"/>
    </xf>
    <xf numFmtId="0" fontId="63" fillId="4" borderId="482" xfId="15" applyFont="1" applyFill="1" applyBorder="1" applyAlignment="1">
      <alignment horizontal="left" vertical="center"/>
    </xf>
    <xf numFmtId="0" fontId="112" fillId="4" borderId="386" xfId="15" applyFont="1" applyFill="1" applyBorder="1" applyAlignment="1">
      <alignment horizontal="left" vertical="center"/>
    </xf>
    <xf numFmtId="49" fontId="63" fillId="17" borderId="386" xfId="1" applyNumberFormat="1" applyFont="1" applyFill="1" applyBorder="1" applyAlignment="1">
      <alignment horizontal="center" vertical="center"/>
    </xf>
    <xf numFmtId="49" fontId="63" fillId="4" borderId="482" xfId="1" applyNumberFormat="1" applyFont="1" applyFill="1" applyBorder="1" applyAlignment="1">
      <alignment horizontal="center" vertical="center"/>
    </xf>
    <xf numFmtId="3" fontId="38" fillId="2" borderId="386" xfId="1" applyNumberFormat="1" applyFont="1" applyFill="1" applyBorder="1" applyAlignment="1">
      <alignment horizontal="center" vertical="center"/>
    </xf>
    <xf numFmtId="0" fontId="63" fillId="4" borderId="567" xfId="1" applyFont="1" applyFill="1" applyBorder="1" applyAlignment="1">
      <alignment horizontal="left" vertical="center"/>
    </xf>
    <xf numFmtId="0" fontId="104" fillId="56" borderId="386" xfId="15" applyFont="1" applyFill="1" applyBorder="1" applyAlignment="1">
      <alignment horizontal="left" vertical="center"/>
    </xf>
    <xf numFmtId="0" fontId="104" fillId="59" borderId="356" xfId="15" applyFont="1" applyFill="1" applyBorder="1" applyAlignment="1">
      <alignment horizontal="left" vertical="center"/>
    </xf>
    <xf numFmtId="49" fontId="63" fillId="4" borderId="608" xfId="1" applyNumberFormat="1" applyFont="1" applyFill="1" applyBorder="1" applyAlignment="1">
      <alignment horizontal="center" vertical="center"/>
    </xf>
    <xf numFmtId="49" fontId="63" fillId="56" borderId="386" xfId="1" applyNumberFormat="1" applyFont="1" applyFill="1" applyBorder="1" applyAlignment="1">
      <alignment horizontal="center" vertical="center"/>
    </xf>
    <xf numFmtId="0" fontId="107" fillId="41" borderId="17" xfId="1" applyFont="1" applyFill="1" applyBorder="1" applyAlignment="1">
      <alignment horizontal="center" vertical="center"/>
    </xf>
    <xf numFmtId="0" fontId="43" fillId="27" borderId="25" xfId="1" applyFont="1" applyFill="1" applyBorder="1" applyAlignment="1">
      <alignment horizontal="center" vertical="center"/>
    </xf>
    <xf numFmtId="0" fontId="23" fillId="26" borderId="21" xfId="1" applyFont="1" applyFill="1" applyBorder="1" applyAlignment="1">
      <alignment horizontal="center" vertical="center"/>
    </xf>
    <xf numFmtId="0" fontId="23" fillId="35" borderId="246" xfId="1" applyFont="1" applyFill="1" applyBorder="1" applyAlignment="1">
      <alignment horizontal="center" vertical="center"/>
    </xf>
    <xf numFmtId="0" fontId="23" fillId="34" borderId="286" xfId="1" applyFont="1" applyFill="1" applyBorder="1" applyAlignment="1">
      <alignment horizontal="center" vertical="center"/>
    </xf>
    <xf numFmtId="166" fontId="104" fillId="24" borderId="4" xfId="15" applyNumberFormat="1" applyFont="1" applyFill="1" applyBorder="1" applyAlignment="1">
      <alignment horizontal="left" vertical="center"/>
    </xf>
    <xf numFmtId="0" fontId="104" fillId="41" borderId="0" xfId="15" applyFont="1" applyFill="1" applyBorder="1" applyAlignment="1">
      <alignment horizontal="left" vertical="center"/>
    </xf>
    <xf numFmtId="0" fontId="73" fillId="25" borderId="77" xfId="1" applyFont="1" applyFill="1" applyBorder="1" applyAlignment="1">
      <alignment horizontal="left" vertical="center"/>
    </xf>
    <xf numFmtId="0" fontId="112" fillId="40" borderId="0" xfId="15" applyFont="1" applyFill="1" applyBorder="1" applyAlignment="1">
      <alignment horizontal="left" vertical="center"/>
    </xf>
    <xf numFmtId="0" fontId="59" fillId="26" borderId="8" xfId="1" applyFont="1" applyFill="1" applyBorder="1" applyAlignment="1">
      <alignment horizontal="center"/>
    </xf>
    <xf numFmtId="0" fontId="59" fillId="22" borderId="8" xfId="1" applyFont="1" applyFill="1" applyBorder="1" applyAlignment="1">
      <alignment horizontal="center"/>
    </xf>
    <xf numFmtId="0" fontId="59" fillId="27" borderId="498" xfId="1" applyFont="1" applyFill="1" applyBorder="1" applyAlignment="1">
      <alignment horizontal="center"/>
    </xf>
    <xf numFmtId="0" fontId="41" fillId="50" borderId="356" xfId="1" applyFont="1" applyFill="1" applyBorder="1" applyAlignment="1">
      <alignment horizontal="center" vertical="center"/>
    </xf>
    <xf numFmtId="0" fontId="41" fillId="41" borderId="356" xfId="1" applyFont="1" applyFill="1" applyBorder="1" applyAlignment="1">
      <alignment horizontal="center" vertical="center"/>
    </xf>
    <xf numFmtId="0" fontId="41" fillId="30" borderId="326" xfId="1" applyFont="1" applyFill="1" applyBorder="1" applyAlignment="1">
      <alignment horizontal="center" vertical="center"/>
    </xf>
    <xf numFmtId="3" fontId="17" fillId="41" borderId="99" xfId="1" applyNumberFormat="1" applyFont="1" applyFill="1" applyBorder="1" applyAlignment="1">
      <alignment horizontal="center" vertical="center"/>
    </xf>
    <xf numFmtId="3" fontId="39" fillId="26" borderId="102" xfId="1" applyNumberFormat="1" applyFont="1" applyFill="1" applyBorder="1" applyAlignment="1">
      <alignment horizontal="center" vertical="center"/>
    </xf>
    <xf numFmtId="3" fontId="39" fillId="41" borderId="99" xfId="1" applyNumberFormat="1" applyFont="1" applyFill="1" applyBorder="1" applyAlignment="1">
      <alignment horizontal="center" vertical="center"/>
    </xf>
    <xf numFmtId="3" fontId="17" fillId="27" borderId="332" xfId="1" applyNumberFormat="1" applyFont="1" applyFill="1" applyBorder="1" applyAlignment="1">
      <alignment horizontal="center" vertical="center"/>
    </xf>
    <xf numFmtId="3" fontId="17" fillId="40" borderId="326" xfId="1" applyNumberFormat="1" applyFont="1" applyFill="1" applyBorder="1" applyAlignment="1">
      <alignment horizontal="center" vertical="center"/>
    </xf>
    <xf numFmtId="3" fontId="17" fillId="38" borderId="326" xfId="1" applyNumberFormat="1" applyFont="1" applyFill="1" applyBorder="1" applyAlignment="1">
      <alignment horizontal="center" vertical="center"/>
    </xf>
    <xf numFmtId="3" fontId="39" fillId="35" borderId="326" xfId="1" applyNumberFormat="1" applyFont="1" applyFill="1" applyBorder="1" applyAlignment="1">
      <alignment horizontal="center" vertical="center"/>
    </xf>
    <xf numFmtId="3" fontId="39" fillId="34" borderId="347" xfId="1" applyNumberFormat="1" applyFont="1" applyFill="1" applyBorder="1" applyAlignment="1">
      <alignment horizontal="center" vertical="center"/>
    </xf>
    <xf numFmtId="3" fontId="17" fillId="37" borderId="365" xfId="1" applyNumberFormat="1" applyFont="1" applyFill="1" applyBorder="1" applyAlignment="1">
      <alignment horizontal="center" vertical="center"/>
    </xf>
    <xf numFmtId="3" fontId="17" fillId="55" borderId="386" xfId="1" applyNumberFormat="1" applyFont="1" applyFill="1" applyBorder="1" applyAlignment="1">
      <alignment horizontal="center" vertical="center"/>
    </xf>
    <xf numFmtId="3" fontId="39" fillId="25" borderId="281" xfId="1" applyNumberFormat="1" applyFont="1" applyFill="1" applyBorder="1" applyAlignment="1">
      <alignment horizontal="center" vertical="center"/>
    </xf>
    <xf numFmtId="3" fontId="17" fillId="41" borderId="64" xfId="1" applyNumberFormat="1" applyFont="1" applyFill="1" applyBorder="1" applyAlignment="1">
      <alignment horizontal="center" vertical="center"/>
    </xf>
    <xf numFmtId="3" fontId="39" fillId="26" borderId="72" xfId="1" applyNumberFormat="1" applyFont="1" applyFill="1" applyBorder="1" applyAlignment="1">
      <alignment horizontal="center" vertical="center"/>
    </xf>
    <xf numFmtId="3" fontId="39" fillId="41" borderId="64" xfId="1" applyNumberFormat="1" applyFont="1" applyFill="1" applyBorder="1" applyAlignment="1">
      <alignment horizontal="center" vertical="center"/>
    </xf>
    <xf numFmtId="3" fontId="37" fillId="35" borderId="64" xfId="1" applyNumberFormat="1" applyFont="1" applyFill="1" applyBorder="1" applyAlignment="1">
      <alignment horizontal="center" vertical="center"/>
    </xf>
    <xf numFmtId="3" fontId="39" fillId="40" borderId="325" xfId="1" applyNumberFormat="1" applyFont="1" applyFill="1" applyBorder="1" applyAlignment="1">
      <alignment horizontal="center" vertical="center"/>
    </xf>
    <xf numFmtId="3" fontId="17" fillId="38" borderId="325" xfId="1" applyNumberFormat="1" applyFont="1" applyFill="1" applyBorder="1" applyAlignment="1">
      <alignment horizontal="center" vertical="center"/>
    </xf>
    <xf numFmtId="3" fontId="39" fillId="55" borderId="386" xfId="1" applyNumberFormat="1" applyFont="1" applyFill="1" applyBorder="1" applyAlignment="1">
      <alignment horizontal="center" vertical="center"/>
    </xf>
    <xf numFmtId="3" fontId="38" fillId="0" borderId="260" xfId="1" applyNumberFormat="1" applyFont="1" applyFill="1" applyBorder="1" applyAlignment="1">
      <alignment horizontal="center" vertical="center"/>
    </xf>
    <xf numFmtId="3" fontId="106" fillId="0" borderId="279" xfId="1" applyNumberFormat="1" applyFont="1" applyFill="1" applyBorder="1" applyAlignment="1">
      <alignment horizontal="center" vertical="center"/>
    </xf>
    <xf numFmtId="3" fontId="38" fillId="0" borderId="386" xfId="1" applyNumberFormat="1" applyFont="1" applyFill="1" applyBorder="1" applyAlignment="1">
      <alignment horizontal="center" vertical="center" shrinkToFit="1"/>
    </xf>
    <xf numFmtId="3" fontId="38" fillId="8" borderId="169" xfId="1" applyNumberFormat="1" applyFont="1" applyFill="1" applyBorder="1" applyAlignment="1">
      <alignment horizontal="center" vertical="center"/>
    </xf>
    <xf numFmtId="3" fontId="17" fillId="24" borderId="259" xfId="1" applyNumberFormat="1" applyFont="1" applyFill="1" applyBorder="1" applyAlignment="1">
      <alignment horizontal="left" vertical="center"/>
    </xf>
    <xf numFmtId="3" fontId="38" fillId="41" borderId="72" xfId="1" applyNumberFormat="1" applyFont="1" applyFill="1" applyBorder="1" applyAlignment="1">
      <alignment horizontal="left" vertical="center"/>
    </xf>
    <xf numFmtId="3" fontId="38" fillId="41" borderId="64" xfId="1" applyNumberFormat="1" applyFont="1" applyFill="1" applyBorder="1" applyAlignment="1">
      <alignment horizontal="left" vertical="center"/>
    </xf>
    <xf numFmtId="3" fontId="38" fillId="26" borderId="72" xfId="1" applyNumberFormat="1" applyFont="1" applyFill="1" applyBorder="1" applyAlignment="1">
      <alignment horizontal="left" vertical="center"/>
    </xf>
    <xf numFmtId="3" fontId="38" fillId="40" borderId="325" xfId="1" applyNumberFormat="1" applyFont="1" applyFill="1" applyBorder="1" applyAlignment="1">
      <alignment horizontal="left" vertical="center"/>
    </xf>
    <xf numFmtId="3" fontId="38" fillId="34" borderId="347" xfId="1" applyNumberFormat="1" applyFont="1" applyFill="1" applyBorder="1" applyAlignment="1">
      <alignment horizontal="left" vertical="center"/>
    </xf>
    <xf numFmtId="3" fontId="38" fillId="55" borderId="386" xfId="1" applyNumberFormat="1" applyFont="1" applyFill="1" applyBorder="1" applyAlignment="1">
      <alignment horizontal="left" vertical="center"/>
    </xf>
    <xf numFmtId="3" fontId="150" fillId="24" borderId="283" xfId="1" applyNumberFormat="1" applyFont="1" applyFill="1" applyBorder="1" applyAlignment="1">
      <alignment horizontal="center" vertical="center"/>
    </xf>
    <xf numFmtId="3" fontId="38" fillId="41" borderId="72" xfId="1" applyNumberFormat="1" applyFont="1" applyFill="1" applyBorder="1" applyAlignment="1">
      <alignment horizontal="center" vertical="center"/>
    </xf>
    <xf numFmtId="3" fontId="38" fillId="26" borderId="72" xfId="1" applyNumberFormat="1" applyFont="1" applyFill="1" applyBorder="1" applyAlignment="1">
      <alignment horizontal="center" vertical="center"/>
    </xf>
    <xf numFmtId="3" fontId="150" fillId="27" borderId="64" xfId="1" applyNumberFormat="1" applyFont="1" applyFill="1" applyBorder="1" applyAlignment="1">
      <alignment horizontal="center" vertical="center"/>
    </xf>
    <xf numFmtId="3" fontId="38" fillId="41" borderId="64" xfId="1" applyNumberFormat="1" applyFont="1" applyFill="1" applyBorder="1" applyAlignment="1">
      <alignment horizontal="center" vertical="center"/>
    </xf>
    <xf numFmtId="3" fontId="38" fillId="35" borderId="72" xfId="1" applyNumberFormat="1" applyFont="1" applyFill="1" applyBorder="1" applyAlignment="1">
      <alignment horizontal="center" vertical="center"/>
    </xf>
    <xf numFmtId="3" fontId="17" fillId="34" borderId="169" xfId="1" applyNumberFormat="1" applyFont="1" applyFill="1" applyBorder="1" applyAlignment="1">
      <alignment horizontal="center" vertical="center"/>
    </xf>
    <xf numFmtId="3" fontId="38" fillId="40" borderId="325" xfId="1" applyNumberFormat="1" applyFont="1" applyFill="1" applyBorder="1" applyAlignment="1">
      <alignment horizontal="center" vertical="center"/>
    </xf>
    <xf numFmtId="3" fontId="38" fillId="34" borderId="347" xfId="1" applyNumberFormat="1" applyFont="1" applyFill="1" applyBorder="1" applyAlignment="1">
      <alignment horizontal="center" vertical="center"/>
    </xf>
    <xf numFmtId="3" fontId="38" fillId="55" borderId="386" xfId="1" applyNumberFormat="1" applyFont="1" applyFill="1" applyBorder="1" applyAlignment="1">
      <alignment horizontal="center" vertical="center"/>
    </xf>
    <xf numFmtId="3" fontId="17" fillId="41" borderId="514" xfId="1" applyNumberFormat="1" applyFont="1" applyFill="1" applyBorder="1" applyAlignment="1">
      <alignment horizontal="center" vertical="center"/>
    </xf>
    <xf numFmtId="3" fontId="150" fillId="41" borderId="509" xfId="1" applyNumberFormat="1" applyFont="1" applyFill="1" applyBorder="1" applyAlignment="1">
      <alignment horizontal="center" vertical="center"/>
    </xf>
    <xf numFmtId="3" fontId="17" fillId="40" borderId="509" xfId="1" applyNumberFormat="1" applyFont="1" applyFill="1" applyBorder="1" applyAlignment="1">
      <alignment horizontal="center" vertical="center"/>
    </xf>
    <xf numFmtId="0" fontId="150" fillId="24" borderId="283" xfId="1" applyFont="1" applyFill="1" applyBorder="1" applyAlignment="1">
      <alignment horizontal="center" vertical="center"/>
    </xf>
    <xf numFmtId="0" fontId="17" fillId="41" borderId="72" xfId="1" applyFont="1" applyFill="1" applyBorder="1" applyAlignment="1">
      <alignment horizontal="center" vertical="center"/>
    </xf>
    <xf numFmtId="0" fontId="17" fillId="26" borderId="72" xfId="1" applyFont="1" applyFill="1" applyBorder="1" applyAlignment="1">
      <alignment horizontal="center" vertical="center"/>
    </xf>
    <xf numFmtId="0" fontId="17" fillId="41" borderId="64" xfId="1" applyFont="1" applyFill="1" applyBorder="1" applyAlignment="1">
      <alignment horizontal="center" vertical="center"/>
    </xf>
    <xf numFmtId="0" fontId="150" fillId="40" borderId="325" xfId="1" applyFont="1" applyFill="1" applyBorder="1" applyAlignment="1">
      <alignment horizontal="center" vertical="center"/>
    </xf>
    <xf numFmtId="0" fontId="17" fillId="34" borderId="347" xfId="1" applyFont="1" applyFill="1" applyBorder="1" applyAlignment="1">
      <alignment horizontal="center" vertical="center"/>
    </xf>
    <xf numFmtId="0" fontId="17" fillId="55" borderId="386" xfId="1" applyFont="1" applyFill="1" applyBorder="1" applyAlignment="1">
      <alignment horizontal="center" vertical="center"/>
    </xf>
    <xf numFmtId="172" fontId="17" fillId="24" borderId="259" xfId="1" applyNumberFormat="1" applyFont="1" applyFill="1" applyBorder="1" applyAlignment="1">
      <alignment horizontal="center" vertical="center"/>
    </xf>
    <xf numFmtId="172" fontId="38" fillId="41" borderId="72" xfId="1" applyNumberFormat="1" applyFont="1" applyFill="1" applyBorder="1" applyAlignment="1">
      <alignment horizontal="center" vertical="center"/>
    </xf>
    <xf numFmtId="172" fontId="38" fillId="41" borderId="64" xfId="1" applyNumberFormat="1" applyFont="1" applyFill="1" applyBorder="1" applyAlignment="1">
      <alignment horizontal="center" vertical="center"/>
    </xf>
    <xf numFmtId="172" fontId="17" fillId="24" borderId="332" xfId="1" applyNumberFormat="1" applyFont="1" applyFill="1" applyBorder="1" applyAlignment="1">
      <alignment horizontal="center" vertical="center"/>
    </xf>
    <xf numFmtId="172" fontId="38" fillId="26" borderId="72" xfId="1" applyNumberFormat="1" applyFont="1" applyFill="1" applyBorder="1" applyAlignment="1">
      <alignment horizontal="center" vertical="center"/>
    </xf>
    <xf numFmtId="172" fontId="17" fillId="34" borderId="245" xfId="1" applyNumberFormat="1" applyFont="1" applyFill="1" applyBorder="1" applyAlignment="1">
      <alignment horizontal="center" vertical="center"/>
    </xf>
    <xf numFmtId="172" fontId="17" fillId="40" borderId="325" xfId="1" applyNumberFormat="1" applyFont="1" applyFill="1" applyBorder="1" applyAlignment="1">
      <alignment horizontal="center" vertical="center"/>
    </xf>
    <xf numFmtId="172" fontId="38" fillId="34" borderId="347" xfId="1" applyNumberFormat="1" applyFont="1" applyFill="1" applyBorder="1" applyAlignment="1">
      <alignment horizontal="center" vertical="center"/>
    </xf>
    <xf numFmtId="172" fontId="38" fillId="55" borderId="386" xfId="1" applyNumberFormat="1" applyFont="1" applyFill="1" applyBorder="1" applyAlignment="1">
      <alignment horizontal="center" vertical="center"/>
    </xf>
    <xf numFmtId="14" fontId="17" fillId="24" borderId="259" xfId="1" applyNumberFormat="1" applyFont="1" applyFill="1" applyBorder="1" applyAlignment="1">
      <alignment horizontal="center" vertical="center"/>
    </xf>
    <xf numFmtId="14" fontId="38" fillId="41" borderId="72" xfId="1" applyNumberFormat="1" applyFont="1" applyFill="1" applyBorder="1" applyAlignment="1">
      <alignment horizontal="center" vertical="center"/>
    </xf>
    <xf numFmtId="14" fontId="38" fillId="41" borderId="64" xfId="1" applyNumberFormat="1" applyFont="1" applyFill="1" applyBorder="1" applyAlignment="1">
      <alignment horizontal="center" vertical="center"/>
    </xf>
    <xf numFmtId="14" fontId="38" fillId="26" borderId="72" xfId="1" applyNumberFormat="1" applyFont="1" applyFill="1" applyBorder="1" applyAlignment="1">
      <alignment horizontal="center" vertical="center"/>
    </xf>
    <xf numFmtId="14" fontId="38" fillId="40" borderId="325" xfId="1" applyNumberFormat="1" applyFont="1" applyFill="1" applyBorder="1" applyAlignment="1">
      <alignment horizontal="center" vertical="center"/>
    </xf>
    <xf numFmtId="14" fontId="38" fillId="34" borderId="347" xfId="1" applyNumberFormat="1" applyFont="1" applyFill="1" applyBorder="1" applyAlignment="1">
      <alignment horizontal="center" vertical="center"/>
    </xf>
    <xf numFmtId="14" fontId="38" fillId="35" borderId="365" xfId="1" quotePrefix="1" applyNumberFormat="1" applyFont="1" applyFill="1" applyBorder="1" applyAlignment="1">
      <alignment horizontal="center" vertical="center"/>
    </xf>
    <xf numFmtId="14" fontId="38" fillId="55" borderId="386" xfId="1" applyNumberFormat="1" applyFont="1" applyFill="1" applyBorder="1" applyAlignment="1">
      <alignment horizontal="center" vertical="center"/>
    </xf>
    <xf numFmtId="2" fontId="38" fillId="3" borderId="318" xfId="1" applyNumberFormat="1" applyFont="1" applyFill="1" applyBorder="1" applyAlignment="1">
      <alignment horizontal="center" vertical="center"/>
    </xf>
    <xf numFmtId="2" fontId="38" fillId="55" borderId="387" xfId="1" applyNumberFormat="1" applyFont="1" applyFill="1" applyBorder="1" applyAlignment="1">
      <alignment horizontal="center" vertical="center"/>
    </xf>
    <xf numFmtId="0" fontId="43" fillId="39" borderId="17" xfId="1" applyFont="1" applyFill="1" applyBorder="1" applyAlignment="1">
      <alignment horizontal="center" vertical="center"/>
    </xf>
    <xf numFmtId="0" fontId="23" fillId="42" borderId="17" xfId="1" applyFont="1" applyFill="1" applyBorder="1" applyAlignment="1">
      <alignment horizontal="center" vertical="center"/>
    </xf>
    <xf numFmtId="0" fontId="43" fillId="41" borderId="28" xfId="1" applyFont="1" applyFill="1" applyBorder="1" applyAlignment="1">
      <alignment horizontal="center" vertical="center"/>
    </xf>
    <xf numFmtId="0" fontId="43" fillId="41" borderId="286" xfId="1" applyFont="1" applyFill="1" applyBorder="1" applyAlignment="1">
      <alignment horizontal="center" vertical="center"/>
    </xf>
    <xf numFmtId="0" fontId="43" fillId="3" borderId="246" xfId="1" applyFont="1" applyFill="1" applyBorder="1" applyAlignment="1">
      <alignment horizontal="center" vertical="center"/>
    </xf>
    <xf numFmtId="0" fontId="43" fillId="46" borderId="21" xfId="1" applyFont="1" applyFill="1" applyBorder="1" applyAlignment="1">
      <alignment horizontal="center" vertical="center"/>
    </xf>
    <xf numFmtId="0" fontId="73" fillId="34" borderId="247" xfId="1" applyFont="1" applyFill="1" applyBorder="1" applyAlignment="1">
      <alignment horizontal="left" vertical="center"/>
    </xf>
    <xf numFmtId="0" fontId="115" fillId="34" borderId="247" xfId="1" applyFont="1" applyFill="1" applyBorder="1" applyAlignment="1">
      <alignment horizontal="left" vertical="center"/>
    </xf>
    <xf numFmtId="0" fontId="112" fillId="34" borderId="77" xfId="15" applyFont="1" applyFill="1" applyBorder="1" applyAlignment="1">
      <alignment horizontal="left" vertical="center"/>
    </xf>
    <xf numFmtId="0" fontId="104" fillId="24" borderId="80" xfId="15" applyFont="1" applyFill="1" applyBorder="1" applyAlignment="1">
      <alignment horizontal="left" vertical="center"/>
    </xf>
    <xf numFmtId="0" fontId="104" fillId="25" borderId="247" xfId="15" applyFont="1" applyFill="1" applyBorder="1" applyAlignment="1">
      <alignment horizontal="left" vertical="center"/>
    </xf>
    <xf numFmtId="0" fontId="111" fillId="3" borderId="247" xfId="15" applyFont="1" applyFill="1" applyBorder="1" applyAlignment="1">
      <alignment horizontal="left" vertical="center"/>
    </xf>
    <xf numFmtId="0" fontId="82" fillId="34" borderId="0" xfId="15" applyFont="1" applyFill="1" applyBorder="1" applyAlignment="1">
      <alignment horizontal="left" vertical="center"/>
    </xf>
    <xf numFmtId="0" fontId="104" fillId="37" borderId="8" xfId="15" applyFont="1" applyFill="1" applyBorder="1" applyAlignment="1">
      <alignment horizontal="left" vertical="center"/>
    </xf>
    <xf numFmtId="0" fontId="73" fillId="46" borderId="8" xfId="1" applyFont="1" applyFill="1" applyBorder="1" applyAlignment="1">
      <alignment horizontal="left" vertical="center"/>
    </xf>
    <xf numFmtId="0" fontId="82" fillId="24" borderId="0" xfId="15" applyFont="1" applyFill="1" applyBorder="1" applyAlignment="1">
      <alignment horizontal="left" vertical="center"/>
    </xf>
    <xf numFmtId="0" fontId="73" fillId="27" borderId="4" xfId="1" applyFont="1" applyFill="1" applyBorder="1" applyAlignment="1">
      <alignment horizontal="left" vertical="center"/>
    </xf>
    <xf numFmtId="0" fontId="63" fillId="27" borderId="4" xfId="1" applyFont="1" applyFill="1" applyBorder="1" applyAlignment="1">
      <alignment horizontal="left" vertical="center"/>
    </xf>
    <xf numFmtId="0" fontId="104" fillId="52" borderId="4" xfId="15" applyFont="1" applyFill="1" applyBorder="1" applyAlignment="1">
      <alignment horizontal="left" vertical="center"/>
    </xf>
    <xf numFmtId="0" fontId="59" fillId="39" borderId="0" xfId="1" applyFont="1" applyFill="1" applyBorder="1" applyAlignment="1">
      <alignment horizontal="center" vertical="center"/>
    </xf>
    <xf numFmtId="0" fontId="59" fillId="42" borderId="0" xfId="1" applyFont="1" applyFill="1" applyBorder="1" applyAlignment="1">
      <alignment horizontal="center"/>
    </xf>
    <xf numFmtId="0" fontId="117" fillId="41" borderId="0" xfId="1" applyFont="1" applyFill="1" applyBorder="1" applyAlignment="1">
      <alignment horizontal="center"/>
    </xf>
    <xf numFmtId="0" fontId="59" fillId="47" borderId="0" xfId="1" applyFont="1" applyFill="1" applyBorder="1" applyAlignment="1">
      <alignment horizontal="center" vertical="center"/>
    </xf>
    <xf numFmtId="0" fontId="117" fillId="3" borderId="498" xfId="1" applyFont="1" applyFill="1" applyBorder="1" applyAlignment="1">
      <alignment horizontal="center"/>
    </xf>
    <xf numFmtId="0" fontId="117" fillId="46" borderId="8" xfId="1" applyFont="1" applyFill="1" applyBorder="1" applyAlignment="1">
      <alignment horizontal="center"/>
    </xf>
    <xf numFmtId="0" fontId="34" fillId="24" borderId="0" xfId="1" applyFont="1" applyFill="1" applyBorder="1" applyAlignment="1">
      <alignment horizontal="center" vertical="center"/>
    </xf>
    <xf numFmtId="0" fontId="117" fillId="27" borderId="4" xfId="1" applyFont="1" applyFill="1" applyBorder="1" applyAlignment="1">
      <alignment horizontal="center"/>
    </xf>
    <xf numFmtId="3" fontId="17" fillId="34" borderId="347" xfId="1" applyNumberFormat="1" applyFont="1" applyFill="1" applyBorder="1" applyAlignment="1">
      <alignment horizontal="center" vertical="center"/>
    </xf>
    <xf numFmtId="3" fontId="17" fillId="39" borderId="99" xfId="1" applyNumberFormat="1" applyFont="1" applyFill="1" applyBorder="1" applyAlignment="1">
      <alignment horizontal="center" vertical="center"/>
    </xf>
    <xf numFmtId="3" fontId="37" fillId="34" borderId="99" xfId="1" applyNumberFormat="1" applyFont="1" applyFill="1" applyBorder="1" applyAlignment="1">
      <alignment horizontal="center" vertical="center"/>
    </xf>
    <xf numFmtId="3" fontId="39" fillId="42" borderId="99" xfId="1" applyNumberFormat="1" applyFont="1" applyFill="1" applyBorder="1" applyAlignment="1">
      <alignment horizontal="center" vertical="center"/>
    </xf>
    <xf numFmtId="3" fontId="17" fillId="3" borderId="256" xfId="1" applyNumberFormat="1" applyFont="1" applyFill="1" applyBorder="1" applyAlignment="1">
      <alignment horizontal="center" vertical="center"/>
    </xf>
    <xf numFmtId="3" fontId="17" fillId="24" borderId="341" xfId="1" applyNumberFormat="1" applyFont="1" applyFill="1" applyBorder="1" applyAlignment="1">
      <alignment horizontal="center" vertical="center"/>
    </xf>
    <xf numFmtId="3" fontId="17" fillId="47" borderId="242" xfId="1" applyNumberFormat="1" applyFont="1" applyFill="1" applyBorder="1" applyAlignment="1">
      <alignment horizontal="center" vertical="center"/>
    </xf>
    <xf numFmtId="3" fontId="17" fillId="4" borderId="328" xfId="1" applyNumberFormat="1" applyFont="1" applyFill="1" applyBorder="1" applyAlignment="1">
      <alignment horizontal="center" vertical="center"/>
    </xf>
    <xf numFmtId="3" fontId="17" fillId="29" borderId="508" xfId="1" applyNumberFormat="1" applyFont="1" applyFill="1" applyBorder="1" applyAlignment="1">
      <alignment horizontal="center" vertical="center"/>
    </xf>
    <xf numFmtId="3" fontId="17" fillId="38" borderId="64" xfId="1" applyNumberFormat="1" applyFont="1" applyFill="1" applyBorder="1" applyAlignment="1">
      <alignment horizontal="center" vertical="center"/>
    </xf>
    <xf numFmtId="3" fontId="37" fillId="46" borderId="102" xfId="1" applyNumberFormat="1" applyFont="1" applyFill="1" applyBorder="1" applyAlignment="1">
      <alignment horizontal="center" vertical="center"/>
    </xf>
    <xf numFmtId="3" fontId="38" fillId="24" borderId="326" xfId="1" applyNumberFormat="1" applyFont="1" applyFill="1" applyBorder="1" applyAlignment="1">
      <alignment horizontal="center" vertical="center" wrapText="1"/>
    </xf>
    <xf numFmtId="3" fontId="39" fillId="27" borderId="18" xfId="1" applyNumberFormat="1" applyFont="1" applyFill="1" applyBorder="1" applyAlignment="1">
      <alignment horizontal="center" vertical="center"/>
    </xf>
    <xf numFmtId="3" fontId="17" fillId="25" borderId="30" xfId="1" applyNumberFormat="1" applyFont="1" applyFill="1" applyBorder="1" applyAlignment="1">
      <alignment horizontal="center" vertical="center"/>
    </xf>
    <xf numFmtId="3" fontId="17" fillId="25" borderId="344" xfId="1" applyNumberFormat="1" applyFont="1" applyFill="1" applyBorder="1" applyAlignment="1">
      <alignment horizontal="center" vertical="center"/>
    </xf>
    <xf numFmtId="3" fontId="17" fillId="24" borderId="327" xfId="1" applyNumberFormat="1" applyFont="1" applyFill="1" applyBorder="1" applyAlignment="1">
      <alignment horizontal="center" vertical="center"/>
    </xf>
    <xf numFmtId="3" fontId="17" fillId="4" borderId="309" xfId="1" applyNumberFormat="1" applyFont="1" applyFill="1" applyBorder="1" applyAlignment="1">
      <alignment horizontal="center" vertical="center"/>
    </xf>
    <xf numFmtId="3" fontId="17" fillId="4" borderId="321" xfId="1" applyNumberFormat="1" applyFont="1" applyFill="1" applyBorder="1" applyAlignment="1">
      <alignment horizontal="center" vertical="center"/>
    </xf>
    <xf numFmtId="3" fontId="17" fillId="39" borderId="64" xfId="1" applyNumberFormat="1" applyFont="1" applyFill="1" applyBorder="1" applyAlignment="1">
      <alignment horizontal="center" vertical="center"/>
    </xf>
    <xf numFmtId="3" fontId="37" fillId="34" borderId="64" xfId="1" applyNumberFormat="1" applyFont="1" applyFill="1" applyBorder="1" applyAlignment="1">
      <alignment horizontal="center" vertical="center"/>
    </xf>
    <xf numFmtId="3" fontId="17" fillId="3" borderId="252" xfId="1" applyNumberFormat="1" applyFont="1" applyFill="1" applyBorder="1" applyAlignment="1">
      <alignment horizontal="center" vertical="center"/>
    </xf>
    <xf numFmtId="3" fontId="17" fillId="24" borderId="336" xfId="1" applyNumberFormat="1" applyFont="1" applyFill="1" applyBorder="1" applyAlignment="1">
      <alignment horizontal="center" vertical="center"/>
    </xf>
    <xf numFmtId="3" fontId="39" fillId="3" borderId="248" xfId="1" applyNumberFormat="1" applyFont="1" applyFill="1" applyBorder="1" applyAlignment="1">
      <alignment horizontal="center" vertical="center"/>
    </xf>
    <xf numFmtId="3" fontId="37" fillId="46" borderId="72" xfId="1" applyNumberFormat="1" applyFont="1" applyFill="1" applyBorder="1" applyAlignment="1">
      <alignment horizontal="center" vertical="center"/>
    </xf>
    <xf numFmtId="3" fontId="38" fillId="24" borderId="325" xfId="1" applyNumberFormat="1" applyFont="1" applyFill="1" applyBorder="1" applyAlignment="1">
      <alignment horizontal="center" vertical="center" wrapText="1"/>
    </xf>
    <xf numFmtId="3" fontId="39" fillId="27" borderId="169" xfId="1" applyNumberFormat="1" applyFont="1" applyFill="1" applyBorder="1" applyAlignment="1">
      <alignment horizontal="center" vertical="center"/>
    </xf>
    <xf numFmtId="3" fontId="39" fillId="25" borderId="173" xfId="1" applyNumberFormat="1" applyFont="1" applyFill="1" applyBorder="1" applyAlignment="1">
      <alignment horizontal="center" vertical="center"/>
    </xf>
    <xf numFmtId="3" fontId="37" fillId="24" borderId="27" xfId="1" applyNumberFormat="1" applyFont="1" applyFill="1" applyBorder="1" applyAlignment="1">
      <alignment horizontal="center" vertical="center"/>
    </xf>
    <xf numFmtId="3" fontId="39" fillId="25" borderId="244" xfId="1" applyNumberFormat="1" applyFont="1" applyFill="1" applyBorder="1" applyAlignment="1">
      <alignment horizontal="center" vertical="center"/>
    </xf>
    <xf numFmtId="3" fontId="17" fillId="4" borderId="244" xfId="1" applyNumberFormat="1" applyFont="1" applyFill="1" applyBorder="1" applyAlignment="1">
      <alignment horizontal="center" vertical="center"/>
    </xf>
    <xf numFmtId="3" fontId="38" fillId="4" borderId="249" xfId="1" applyNumberFormat="1" applyFont="1" applyFill="1" applyBorder="1" applyAlignment="1">
      <alignment horizontal="center" vertical="center"/>
    </xf>
    <xf numFmtId="3" fontId="106" fillId="0" borderId="249" xfId="1" applyNumberFormat="1" applyFont="1" applyFill="1" applyBorder="1" applyAlignment="1">
      <alignment horizontal="center" vertical="center"/>
    </xf>
    <xf numFmtId="3" fontId="17" fillId="0" borderId="288" xfId="1" applyNumberFormat="1" applyFont="1" applyFill="1" applyBorder="1" applyAlignment="1">
      <alignment horizontal="center" vertical="center"/>
    </xf>
    <xf numFmtId="3" fontId="38" fillId="0" borderId="284" xfId="1" applyNumberFormat="1" applyFont="1" applyFill="1" applyBorder="1" applyAlignment="1">
      <alignment horizontal="center" vertical="center"/>
    </xf>
    <xf numFmtId="3" fontId="38" fillId="0" borderId="4" xfId="1" applyNumberFormat="1" applyFont="1" applyFill="1" applyBorder="1" applyAlignment="1">
      <alignment horizontal="center" vertical="center"/>
    </xf>
    <xf numFmtId="3" fontId="38" fillId="0" borderId="301" xfId="1" applyNumberFormat="1" applyFont="1" applyFill="1" applyBorder="1" applyAlignment="1">
      <alignment horizontal="center" vertical="center"/>
    </xf>
    <xf numFmtId="3" fontId="38" fillId="0" borderId="244" xfId="1" applyNumberFormat="1" applyFont="1" applyFill="1" applyBorder="1" applyAlignment="1">
      <alignment horizontal="center" vertical="center"/>
    </xf>
    <xf numFmtId="3" fontId="17" fillId="4" borderId="245" xfId="1" applyNumberFormat="1" applyFont="1" applyFill="1" applyBorder="1" applyAlignment="1">
      <alignment horizontal="center" vertical="center"/>
    </xf>
    <xf numFmtId="3" fontId="106" fillId="0" borderId="251" xfId="1" applyNumberFormat="1" applyFont="1" applyFill="1" applyBorder="1" applyAlignment="1">
      <alignment horizontal="center" vertical="center"/>
    </xf>
    <xf numFmtId="3" fontId="17" fillId="34" borderId="245" xfId="1" applyNumberFormat="1" applyFont="1" applyFill="1" applyBorder="1" applyAlignment="1">
      <alignment horizontal="left" vertical="center"/>
    </xf>
    <xf numFmtId="3" fontId="38" fillId="39" borderId="64" xfId="1" applyNumberFormat="1" applyFont="1" applyFill="1" applyBorder="1" applyAlignment="1">
      <alignment horizontal="left" vertical="center"/>
    </xf>
    <xf numFmtId="3" fontId="38" fillId="42" borderId="325" xfId="1" applyNumberFormat="1" applyFont="1" applyFill="1" applyBorder="1" applyAlignment="1">
      <alignment horizontal="left" vertical="center"/>
    </xf>
    <xf numFmtId="3" fontId="17" fillId="24" borderId="325" xfId="1" applyNumberFormat="1" applyFont="1" applyFill="1" applyBorder="1" applyAlignment="1">
      <alignment horizontal="left" vertical="center"/>
    </xf>
    <xf numFmtId="3" fontId="38" fillId="26" borderId="245" xfId="1" applyNumberFormat="1" applyFont="1" applyFill="1" applyBorder="1" applyAlignment="1">
      <alignment horizontal="left" vertical="center"/>
    </xf>
    <xf numFmtId="3" fontId="38" fillId="3" borderId="245" xfId="1" applyNumberFormat="1" applyFont="1" applyFill="1" applyBorder="1" applyAlignment="1">
      <alignment horizontal="left" vertical="center"/>
    </xf>
    <xf numFmtId="3" fontId="38" fillId="47" borderId="64" xfId="1" applyNumberFormat="1" applyFont="1" applyFill="1" applyBorder="1" applyAlignment="1">
      <alignment horizontal="left" vertical="center"/>
    </xf>
    <xf numFmtId="3" fontId="38" fillId="46" borderId="72" xfId="1" applyNumberFormat="1" applyFont="1" applyFill="1" applyBorder="1" applyAlignment="1">
      <alignment horizontal="left" vertical="center"/>
    </xf>
    <xf numFmtId="0" fontId="17" fillId="24" borderId="325" xfId="1" applyFont="1" applyFill="1" applyBorder="1" applyAlignment="1">
      <alignment horizontal="left" vertical="center" wrapText="1"/>
    </xf>
    <xf numFmtId="3" fontId="38" fillId="27" borderId="169" xfId="1" applyNumberFormat="1" applyFont="1" applyFill="1" applyBorder="1" applyAlignment="1">
      <alignment horizontal="left" vertical="center"/>
    </xf>
    <xf numFmtId="3" fontId="38" fillId="24" borderId="316" xfId="1" applyNumberFormat="1" applyFont="1" applyFill="1" applyBorder="1" applyAlignment="1">
      <alignment horizontal="left" vertical="center"/>
    </xf>
    <xf numFmtId="3" fontId="150" fillId="39" borderId="64" xfId="1" applyNumberFormat="1" applyFont="1" applyFill="1" applyBorder="1" applyAlignment="1">
      <alignment horizontal="center" vertical="center"/>
    </xf>
    <xf numFmtId="3" fontId="38" fillId="3" borderId="245" xfId="1" applyNumberFormat="1" applyFont="1" applyFill="1" applyBorder="1" applyAlignment="1">
      <alignment horizontal="center" vertical="center"/>
    </xf>
    <xf numFmtId="3" fontId="150" fillId="47" borderId="64" xfId="1" applyNumberFormat="1" applyFont="1" applyFill="1" applyBorder="1" applyAlignment="1">
      <alignment horizontal="center" vertical="center"/>
    </xf>
    <xf numFmtId="3" fontId="38" fillId="46" borderId="72" xfId="1" applyNumberFormat="1" applyFont="1" applyFill="1" applyBorder="1" applyAlignment="1">
      <alignment horizontal="center" vertical="center"/>
    </xf>
    <xf numFmtId="3" fontId="38" fillId="27" borderId="169" xfId="1" applyNumberFormat="1" applyFont="1" applyFill="1" applyBorder="1" applyAlignment="1">
      <alignment horizontal="center" vertical="center"/>
    </xf>
    <xf numFmtId="3" fontId="17" fillId="25" borderId="169" xfId="1" applyNumberFormat="1" applyFont="1" applyFill="1" applyBorder="1" applyAlignment="1">
      <alignment horizontal="center" vertical="center"/>
    </xf>
    <xf numFmtId="3" fontId="38" fillId="24" borderId="316" xfId="1" applyNumberFormat="1" applyFont="1" applyFill="1" applyBorder="1" applyAlignment="1">
      <alignment horizontal="center" vertical="center"/>
    </xf>
    <xf numFmtId="3" fontId="150" fillId="52" borderId="64" xfId="1" applyNumberFormat="1" applyFont="1" applyFill="1" applyBorder="1" applyAlignment="1">
      <alignment horizontal="center" vertical="center"/>
    </xf>
    <xf numFmtId="3" fontId="38" fillId="3" borderId="520" xfId="1" applyNumberFormat="1" applyFont="1" applyFill="1" applyBorder="1" applyAlignment="1">
      <alignment horizontal="center" vertical="center"/>
    </xf>
    <xf numFmtId="3" fontId="38" fillId="42" borderId="509" xfId="1" applyNumberFormat="1" applyFont="1" applyFill="1" applyBorder="1" applyAlignment="1">
      <alignment horizontal="center" vertical="center"/>
    </xf>
    <xf numFmtId="3" fontId="17" fillId="47" borderId="509" xfId="1" applyNumberFormat="1" applyFont="1" applyFill="1" applyBorder="1" applyAlignment="1">
      <alignment horizontal="center" vertical="center"/>
    </xf>
    <xf numFmtId="3" fontId="17" fillId="3" borderId="520" xfId="1" applyNumberFormat="1" applyFont="1" applyFill="1" applyBorder="1" applyAlignment="1">
      <alignment horizontal="center" vertical="center"/>
    </xf>
    <xf numFmtId="3" fontId="17" fillId="46" borderId="514" xfId="1" applyNumberFormat="1" applyFont="1" applyFill="1" applyBorder="1" applyAlignment="1">
      <alignment horizontal="center" vertical="center"/>
    </xf>
    <xf numFmtId="3" fontId="17" fillId="26" borderId="514" xfId="1" applyNumberFormat="1" applyFont="1" applyFill="1" applyBorder="1" applyAlignment="1">
      <alignment horizontal="center" vertical="center"/>
    </xf>
    <xf numFmtId="3" fontId="17" fillId="41" borderId="482" xfId="1" applyNumberFormat="1" applyFont="1" applyFill="1" applyBorder="1" applyAlignment="1">
      <alignment horizontal="center" vertical="center"/>
    </xf>
    <xf numFmtId="0" fontId="150" fillId="39" borderId="64" xfId="1" applyFont="1" applyFill="1" applyBorder="1" applyAlignment="1">
      <alignment horizontal="center" vertical="center"/>
    </xf>
    <xf numFmtId="0" fontId="17" fillId="3" borderId="245" xfId="1" applyFont="1" applyFill="1" applyBorder="1" applyAlignment="1">
      <alignment horizontal="center" vertical="center"/>
    </xf>
    <xf numFmtId="0" fontId="150" fillId="47" borderId="64" xfId="1" applyFont="1" applyFill="1" applyBorder="1" applyAlignment="1">
      <alignment horizontal="center" vertical="center"/>
    </xf>
    <xf numFmtId="0" fontId="17" fillId="52" borderId="301" xfId="1" applyFont="1" applyFill="1" applyBorder="1" applyAlignment="1">
      <alignment horizontal="center" vertical="center"/>
    </xf>
    <xf numFmtId="0" fontId="17" fillId="46" borderId="72" xfId="1" applyFont="1" applyFill="1" applyBorder="1" applyAlignment="1">
      <alignment horizontal="center" vertical="center"/>
    </xf>
    <xf numFmtId="0" fontId="17" fillId="27" borderId="169" xfId="1" applyFont="1" applyFill="1" applyBorder="1" applyAlignment="1">
      <alignment horizontal="center" vertical="center"/>
    </xf>
    <xf numFmtId="172" fontId="38" fillId="39" borderId="64" xfId="1" applyNumberFormat="1" applyFont="1" applyFill="1" applyBorder="1" applyAlignment="1">
      <alignment horizontal="center" vertical="center"/>
    </xf>
    <xf numFmtId="172" fontId="38" fillId="42" borderId="325" xfId="1" applyNumberFormat="1" applyFont="1" applyFill="1" applyBorder="1" applyAlignment="1">
      <alignment horizontal="center" vertical="center"/>
    </xf>
    <xf numFmtId="172" fontId="33" fillId="3" borderId="245" xfId="1" applyNumberFormat="1" applyFont="1" applyFill="1" applyBorder="1" applyAlignment="1">
      <alignment horizontal="center" vertical="center"/>
    </xf>
    <xf numFmtId="172" fontId="38" fillId="47" borderId="64" xfId="1" applyNumberFormat="1" applyFont="1" applyFill="1" applyBorder="1" applyAlignment="1">
      <alignment horizontal="center" vertical="center"/>
    </xf>
    <xf numFmtId="172" fontId="38" fillId="46" borderId="72" xfId="1" applyNumberFormat="1" applyFont="1" applyFill="1" applyBorder="1" applyAlignment="1">
      <alignment horizontal="center" vertical="center"/>
    </xf>
    <xf numFmtId="172" fontId="38" fillId="27" borderId="169" xfId="1" applyNumberFormat="1" applyFont="1" applyFill="1" applyBorder="1" applyAlignment="1">
      <alignment horizontal="center" vertical="center"/>
    </xf>
    <xf numFmtId="14" fontId="38" fillId="39" borderId="64" xfId="1" applyNumberFormat="1" applyFont="1" applyFill="1" applyBorder="1" applyAlignment="1">
      <alignment horizontal="center" vertical="center"/>
    </xf>
    <xf numFmtId="14" fontId="38" fillId="42" borderId="325" xfId="1" applyNumberFormat="1" applyFont="1" applyFill="1" applyBorder="1" applyAlignment="1">
      <alignment horizontal="center" vertical="center"/>
    </xf>
    <xf numFmtId="14" fontId="38" fillId="26" borderId="245" xfId="1" applyNumberFormat="1" applyFont="1" applyFill="1" applyBorder="1" applyAlignment="1">
      <alignment horizontal="center" vertical="center"/>
    </xf>
    <xf numFmtId="14" fontId="38" fillId="3" borderId="245" xfId="1" applyNumberFormat="1" applyFont="1" applyFill="1" applyBorder="1" applyAlignment="1">
      <alignment horizontal="center" vertical="center"/>
    </xf>
    <xf numFmtId="14" fontId="38" fillId="47" borderId="64" xfId="1" applyNumberFormat="1" applyFont="1" applyFill="1" applyBorder="1" applyAlignment="1">
      <alignment horizontal="center" vertical="center"/>
    </xf>
    <xf numFmtId="14" fontId="38" fillId="46" borderId="72" xfId="1" applyNumberFormat="1" applyFont="1" applyFill="1" applyBorder="1" applyAlignment="1">
      <alignment horizontal="center" vertical="center"/>
    </xf>
    <xf numFmtId="14" fontId="38" fillId="27" borderId="169" xfId="1" applyNumberFormat="1" applyFont="1" applyFill="1" applyBorder="1" applyAlignment="1">
      <alignment horizontal="center" vertical="center"/>
    </xf>
    <xf numFmtId="14" fontId="38" fillId="24" borderId="316" xfId="1" applyNumberFormat="1" applyFont="1" applyFill="1" applyBorder="1" applyAlignment="1">
      <alignment horizontal="center" vertical="center"/>
    </xf>
    <xf numFmtId="14" fontId="38" fillId="25" borderId="331" xfId="1" quotePrefix="1" applyNumberFormat="1" applyFont="1" applyFill="1" applyBorder="1" applyAlignment="1">
      <alignment horizontal="center" vertical="center"/>
    </xf>
    <xf numFmtId="2" fontId="38" fillId="47" borderId="100" xfId="1" applyNumberFormat="1" applyFont="1" applyFill="1" applyBorder="1" applyAlignment="1">
      <alignment horizontal="center" vertical="center"/>
    </xf>
    <xf numFmtId="166" fontId="33" fillId="0" borderId="509" xfId="1" applyNumberFormat="1" applyFont="1" applyFill="1" applyBorder="1" applyAlignment="1">
      <alignment horizontal="center" vertical="center"/>
    </xf>
    <xf numFmtId="0" fontId="23" fillId="4" borderId="246" xfId="1" applyFont="1" applyFill="1" applyBorder="1" applyAlignment="1">
      <alignment horizontal="center" vertical="center"/>
    </xf>
    <xf numFmtId="0" fontId="23" fillId="52" borderId="25" xfId="1" applyFont="1" applyFill="1" applyBorder="1" applyAlignment="1">
      <alignment horizontal="center" vertical="center"/>
    </xf>
    <xf numFmtId="0" fontId="43" fillId="47" borderId="17" xfId="1" applyFont="1" applyFill="1" applyBorder="1" applyAlignment="1">
      <alignment horizontal="center" vertical="center"/>
    </xf>
    <xf numFmtId="0" fontId="43" fillId="42" borderId="25" xfId="1" applyFont="1" applyFill="1" applyBorder="1" applyAlignment="1">
      <alignment horizontal="center" vertical="center"/>
    </xf>
    <xf numFmtId="0" fontId="43" fillId="41" borderId="246" xfId="1" applyFont="1" applyFill="1" applyBorder="1" applyAlignment="1">
      <alignment horizontal="center" vertical="center"/>
    </xf>
    <xf numFmtId="0" fontId="23" fillId="24" borderId="416" xfId="1" applyFont="1" applyFill="1" applyBorder="1" applyAlignment="1">
      <alignment horizontal="center" vertical="center"/>
    </xf>
    <xf numFmtId="0" fontId="23" fillId="41" borderId="21" xfId="1" applyFont="1" applyFill="1" applyBorder="1" applyAlignment="1">
      <alignment horizontal="center" vertical="center"/>
    </xf>
    <xf numFmtId="0" fontId="23" fillId="41" borderId="338" xfId="1" applyFont="1" applyFill="1" applyBorder="1" applyAlignment="1">
      <alignment horizontal="center" vertical="center"/>
    </xf>
    <xf numFmtId="0" fontId="43" fillId="27" borderId="338" xfId="1" applyFont="1" applyFill="1" applyBorder="1" applyAlignment="1">
      <alignment horizontal="center" vertical="center"/>
    </xf>
    <xf numFmtId="0" fontId="43" fillId="26" borderId="338" xfId="1" applyFont="1" applyFill="1" applyBorder="1" applyAlignment="1">
      <alignment horizontal="center" vertical="center"/>
    </xf>
    <xf numFmtId="0" fontId="23" fillId="26" borderId="28" xfId="1" applyFont="1" applyFill="1" applyBorder="1" applyAlignment="1">
      <alignment horizontal="center" vertical="center"/>
    </xf>
    <xf numFmtId="0" fontId="23" fillId="38" borderId="25" xfId="1" applyFont="1" applyFill="1" applyBorder="1" applyAlignment="1">
      <alignment horizontal="center" vertical="center"/>
    </xf>
    <xf numFmtId="0" fontId="23" fillId="37" borderId="246" xfId="1" applyFont="1" applyFill="1" applyBorder="1" applyAlignment="1">
      <alignment horizontal="center" vertical="center"/>
    </xf>
    <xf numFmtId="0" fontId="23" fillId="3" borderId="17" xfId="1" applyFont="1" applyFill="1" applyBorder="1" applyAlignment="1">
      <alignment horizontal="center" vertical="center"/>
    </xf>
    <xf numFmtId="0" fontId="23" fillId="38" borderId="21" xfId="1" applyFont="1" applyFill="1" applyBorder="1" applyAlignment="1">
      <alignment horizontal="center" vertical="center"/>
    </xf>
    <xf numFmtId="0" fontId="43" fillId="28" borderId="17" xfId="1" applyFont="1" applyFill="1" applyBorder="1" applyAlignment="1">
      <alignment horizontal="center" vertical="center"/>
    </xf>
    <xf numFmtId="0" fontId="104" fillId="4" borderId="68" xfId="15" applyFont="1" applyFill="1" applyBorder="1" applyAlignment="1">
      <alignment horizontal="left" vertical="center"/>
    </xf>
    <xf numFmtId="166" fontId="104" fillId="24" borderId="0" xfId="15" applyNumberFormat="1" applyFont="1" applyFill="1" applyBorder="1" applyAlignment="1">
      <alignment horizontal="left" vertical="center"/>
    </xf>
    <xf numFmtId="0" fontId="104" fillId="27" borderId="287" xfId="15" applyFont="1" applyFill="1" applyBorder="1" applyAlignment="1">
      <alignment horizontal="left" vertical="center"/>
    </xf>
    <xf numFmtId="0" fontId="112" fillId="24" borderId="337" xfId="15" applyFont="1" applyFill="1" applyBorder="1" applyAlignment="1">
      <alignment horizontal="left" vertical="center"/>
    </xf>
    <xf numFmtId="0" fontId="73" fillId="24" borderId="77" xfId="1" applyFont="1" applyFill="1" applyBorder="1" applyAlignment="1">
      <alignment horizontal="left" vertical="center"/>
    </xf>
    <xf numFmtId="0" fontId="104" fillId="58" borderId="4" xfId="15" applyFont="1" applyFill="1" applyBorder="1" applyAlignment="1">
      <alignment horizontal="left" vertical="center"/>
    </xf>
    <xf numFmtId="0" fontId="73" fillId="24" borderId="380" xfId="1" applyFont="1" applyFill="1" applyBorder="1" applyAlignment="1">
      <alignment horizontal="left" vertical="center"/>
    </xf>
    <xf numFmtId="0" fontId="82" fillId="25" borderId="8" xfId="15" applyFont="1" applyFill="1" applyBorder="1" applyAlignment="1">
      <alignment horizontal="left" vertical="center"/>
    </xf>
    <xf numFmtId="0" fontId="73" fillId="41" borderId="8" xfId="1" applyFont="1" applyFill="1" applyBorder="1" applyAlignment="1">
      <alignment horizontal="left" vertical="center"/>
    </xf>
    <xf numFmtId="0" fontId="73" fillId="41" borderId="4" xfId="1" applyFont="1" applyFill="1" applyBorder="1" applyAlignment="1">
      <alignment horizontal="left" vertical="center"/>
    </xf>
    <xf numFmtId="0" fontId="104" fillId="26" borderId="337" xfId="15" applyFont="1" applyFill="1" applyBorder="1" applyAlignment="1">
      <alignment horizontal="left" vertical="center"/>
    </xf>
    <xf numFmtId="0" fontId="82" fillId="25" borderId="0" xfId="15" applyFont="1" applyFill="1" applyBorder="1" applyAlignment="1">
      <alignment horizontal="left" vertical="center"/>
    </xf>
    <xf numFmtId="0" fontId="112" fillId="27" borderId="8" xfId="15" applyFont="1" applyFill="1" applyBorder="1" applyAlignment="1">
      <alignment horizontal="left" vertical="center"/>
    </xf>
    <xf numFmtId="0" fontId="104" fillId="25" borderId="8" xfId="15" applyFont="1" applyFill="1" applyBorder="1" applyAlignment="1" applyProtection="1">
      <alignment horizontal="left" vertical="center"/>
      <protection locked="0"/>
    </xf>
    <xf numFmtId="0" fontId="104" fillId="35" borderId="247" xfId="15" applyFont="1" applyFill="1" applyBorder="1" applyAlignment="1">
      <alignment horizontal="left" vertical="center"/>
    </xf>
    <xf numFmtId="0" fontId="115" fillId="36" borderId="0" xfId="1" applyFont="1" applyFill="1" applyBorder="1" applyAlignment="1">
      <alignment horizontal="left" vertical="center"/>
    </xf>
    <xf numFmtId="0" fontId="104" fillId="56" borderId="254" xfId="15" applyFont="1" applyFill="1" applyBorder="1" applyAlignment="1">
      <alignment horizontal="left" vertical="center"/>
    </xf>
    <xf numFmtId="0" fontId="109" fillId="34" borderId="472" xfId="15" applyFont="1" applyFill="1" applyBorder="1" applyAlignment="1">
      <alignment horizontal="left" vertical="center"/>
    </xf>
    <xf numFmtId="0" fontId="109" fillId="30" borderId="0" xfId="15" applyFont="1" applyFill="1" applyBorder="1" applyAlignment="1">
      <alignment horizontal="left" vertical="center"/>
    </xf>
    <xf numFmtId="0" fontId="73" fillId="28" borderId="0" xfId="1" applyFont="1" applyFill="1" applyBorder="1" applyAlignment="1">
      <alignment horizontal="left" vertical="center"/>
    </xf>
    <xf numFmtId="0" fontId="69" fillId="24" borderId="0" xfId="1" applyFont="1" applyFill="1" applyBorder="1" applyAlignment="1">
      <alignment horizontal="center"/>
    </xf>
    <xf numFmtId="0" fontId="59" fillId="50" borderId="8" xfId="1" applyFont="1" applyFill="1" applyBorder="1" applyAlignment="1">
      <alignment horizontal="center" vertical="center"/>
    </xf>
    <xf numFmtId="0" fontId="59" fillId="41" borderId="0" xfId="1" applyFont="1" applyFill="1" applyBorder="1" applyAlignment="1">
      <alignment horizontal="center"/>
    </xf>
    <xf numFmtId="0" fontId="117" fillId="41" borderId="499" xfId="1" applyFont="1" applyFill="1" applyBorder="1" applyAlignment="1">
      <alignment horizontal="center"/>
    </xf>
    <xf numFmtId="0" fontId="117" fillId="42" borderId="0" xfId="1" applyFont="1" applyFill="1" applyBorder="1" applyAlignment="1">
      <alignment horizontal="center"/>
    </xf>
    <xf numFmtId="0" fontId="59" fillId="25" borderId="4" xfId="1" applyFont="1" applyFill="1" applyBorder="1" applyAlignment="1">
      <alignment horizontal="center"/>
    </xf>
    <xf numFmtId="0" fontId="117" fillId="35" borderId="0" xfId="1" applyFont="1" applyFill="1" applyBorder="1" applyAlignment="1">
      <alignment horizontal="center"/>
    </xf>
    <xf numFmtId="0" fontId="117" fillId="34" borderId="498" xfId="1" applyFont="1" applyFill="1" applyBorder="1" applyAlignment="1">
      <alignment horizontal="center"/>
    </xf>
    <xf numFmtId="0" fontId="59" fillId="3" borderId="0" xfId="1" applyFont="1" applyFill="1" applyBorder="1" applyAlignment="1">
      <alignment horizontal="center" vertical="center"/>
    </xf>
    <xf numFmtId="0" fontId="117" fillId="35" borderId="499" xfId="1" applyFont="1" applyFill="1" applyBorder="1" applyAlignment="1">
      <alignment horizontal="center"/>
    </xf>
    <xf numFmtId="0" fontId="69" fillId="35" borderId="8" xfId="1" applyFont="1" applyFill="1" applyBorder="1" applyAlignment="1">
      <alignment horizontal="center"/>
    </xf>
    <xf numFmtId="0" fontId="41" fillId="37" borderId="326" xfId="1" applyFont="1" applyFill="1" applyBorder="1" applyAlignment="1">
      <alignment horizontal="center" vertical="center"/>
    </xf>
    <xf numFmtId="0" fontId="41" fillId="39" borderId="356" xfId="1" applyFont="1" applyFill="1" applyBorder="1" applyAlignment="1">
      <alignment horizontal="center" vertical="center"/>
    </xf>
    <xf numFmtId="3" fontId="17" fillId="24" borderId="279" xfId="1" applyNumberFormat="1" applyFont="1" applyFill="1" applyBorder="1" applyAlignment="1">
      <alignment horizontal="center" vertical="center"/>
    </xf>
    <xf numFmtId="3" fontId="17" fillId="41" borderId="258" xfId="1" applyNumberFormat="1" applyFont="1" applyFill="1" applyBorder="1" applyAlignment="1">
      <alignment horizontal="center" vertical="center"/>
    </xf>
    <xf numFmtId="3" fontId="17" fillId="42" borderId="99" xfId="1" applyNumberFormat="1" applyFont="1" applyFill="1" applyBorder="1" applyAlignment="1">
      <alignment horizontal="center" vertical="center"/>
    </xf>
    <xf numFmtId="3" fontId="39" fillId="41" borderId="102" xfId="1" applyNumberFormat="1" applyFont="1" applyFill="1" applyBorder="1" applyAlignment="1">
      <alignment horizontal="center" vertical="center"/>
    </xf>
    <xf numFmtId="3" fontId="17" fillId="25" borderId="333" xfId="1" applyNumberFormat="1" applyFont="1" applyFill="1" applyBorder="1" applyAlignment="1">
      <alignment horizontal="center" vertical="center"/>
    </xf>
    <xf numFmtId="3" fontId="39" fillId="25" borderId="18" xfId="1" applyNumberFormat="1" applyFont="1" applyFill="1" applyBorder="1" applyAlignment="1">
      <alignment horizontal="center" vertical="center"/>
    </xf>
    <xf numFmtId="3" fontId="39" fillId="42" borderId="332" xfId="1" applyNumberFormat="1" applyFont="1" applyFill="1" applyBorder="1" applyAlignment="1">
      <alignment horizontal="center" vertical="center"/>
    </xf>
    <xf numFmtId="3" fontId="39" fillId="26" borderId="258" xfId="1" applyNumberFormat="1" applyFont="1" applyFill="1" applyBorder="1" applyAlignment="1">
      <alignment horizontal="center" vertical="center"/>
    </xf>
    <xf numFmtId="3" fontId="17" fillId="35" borderId="255" xfId="1" applyNumberFormat="1" applyFont="1" applyFill="1" applyBorder="1" applyAlignment="1">
      <alignment horizontal="center" vertical="center"/>
    </xf>
    <xf numFmtId="3" fontId="17" fillId="35" borderId="417" xfId="1" applyNumberFormat="1" applyFont="1" applyFill="1" applyBorder="1" applyAlignment="1">
      <alignment horizontal="center" vertical="center"/>
    </xf>
    <xf numFmtId="3" fontId="17" fillId="4" borderId="281" xfId="1" applyNumberFormat="1" applyFont="1" applyFill="1" applyBorder="1" applyAlignment="1">
      <alignment horizontal="center" vertical="center"/>
    </xf>
    <xf numFmtId="3" fontId="17" fillId="24" borderId="281" xfId="1" applyNumberFormat="1" applyFont="1" applyFill="1" applyBorder="1" applyAlignment="1">
      <alignment horizontal="center" vertical="center"/>
    </xf>
    <xf numFmtId="3" fontId="41" fillId="24" borderId="294" xfId="1" applyNumberFormat="1" applyFont="1" applyFill="1" applyBorder="1" applyAlignment="1">
      <alignment horizontal="center" vertical="center"/>
    </xf>
    <xf numFmtId="3" fontId="37" fillId="24" borderId="331" xfId="1" applyNumberFormat="1" applyFont="1" applyFill="1" applyBorder="1" applyAlignment="1">
      <alignment horizontal="center" vertical="center"/>
    </xf>
    <xf numFmtId="3" fontId="39" fillId="41" borderId="72" xfId="1" applyNumberFormat="1" applyFont="1" applyFill="1" applyBorder="1" applyAlignment="1">
      <alignment horizontal="center" vertical="center"/>
    </xf>
    <xf numFmtId="3" fontId="39" fillId="26" borderId="24" xfId="1" applyNumberFormat="1" applyFont="1" applyFill="1" applyBorder="1" applyAlignment="1">
      <alignment horizontal="center" vertical="center"/>
    </xf>
    <xf numFmtId="3" fontId="17" fillId="35" borderId="245" xfId="1" applyNumberFormat="1" applyFont="1" applyFill="1" applyBorder="1" applyAlignment="1">
      <alignment horizontal="center" vertical="center"/>
    </xf>
    <xf numFmtId="3" fontId="37" fillId="35" borderId="365" xfId="1" applyNumberFormat="1" applyFont="1" applyFill="1" applyBorder="1" applyAlignment="1">
      <alignment horizontal="center" vertical="center"/>
    </xf>
    <xf numFmtId="3" fontId="38" fillId="0" borderId="29" xfId="1" applyNumberFormat="1" applyFont="1" applyFill="1" applyBorder="1" applyAlignment="1">
      <alignment horizontal="center" vertical="center"/>
    </xf>
    <xf numFmtId="3" fontId="38" fillId="0" borderId="251" xfId="1" applyNumberFormat="1" applyFont="1" applyFill="1" applyBorder="1" applyAlignment="1">
      <alignment horizontal="center" vertical="center"/>
    </xf>
    <xf numFmtId="3" fontId="17" fillId="0" borderId="282" xfId="1" applyNumberFormat="1" applyFont="1" applyFill="1" applyBorder="1" applyAlignment="1">
      <alignment horizontal="center" vertical="center"/>
    </xf>
    <xf numFmtId="3" fontId="17" fillId="8" borderId="64" xfId="1" applyNumberFormat="1" applyFont="1" applyFill="1" applyBorder="1" applyAlignment="1">
      <alignment horizontal="center" vertical="center"/>
    </xf>
    <xf numFmtId="3" fontId="38" fillId="4" borderId="74" xfId="1" applyNumberFormat="1" applyFont="1" applyFill="1" applyBorder="1" applyAlignment="1">
      <alignment horizontal="left" vertical="center"/>
    </xf>
    <xf numFmtId="3" fontId="17" fillId="24" borderId="332" xfId="1" applyNumberFormat="1" applyFont="1" applyFill="1" applyBorder="1" applyAlignment="1">
      <alignment horizontal="left" vertical="center"/>
    </xf>
    <xf numFmtId="3" fontId="38" fillId="25" borderId="283" xfId="1" applyNumberFormat="1" applyFont="1" applyFill="1" applyBorder="1" applyAlignment="1">
      <alignment horizontal="left" vertical="center"/>
    </xf>
    <xf numFmtId="0" fontId="17" fillId="24" borderId="64" xfId="1" applyFont="1" applyFill="1" applyBorder="1" applyAlignment="1">
      <alignment horizontal="left" vertical="center" wrapText="1"/>
    </xf>
    <xf numFmtId="3" fontId="38" fillId="42" borderId="332" xfId="1" applyNumberFormat="1" applyFont="1" applyFill="1" applyBorder="1" applyAlignment="1">
      <alignment horizontal="left" vertical="center"/>
    </xf>
    <xf numFmtId="3" fontId="38" fillId="41" borderId="169" xfId="1" applyNumberFormat="1" applyFont="1" applyFill="1" applyBorder="1" applyAlignment="1">
      <alignment horizontal="left" vertical="center"/>
    </xf>
    <xf numFmtId="0" fontId="17" fillId="24" borderId="332" xfId="1" applyFont="1" applyFill="1" applyBorder="1" applyAlignment="1">
      <alignment horizontal="left" vertical="center" wrapText="1"/>
    </xf>
    <xf numFmtId="3" fontId="38" fillId="26" borderId="24" xfId="1" applyNumberFormat="1" applyFont="1" applyFill="1" applyBorder="1" applyAlignment="1">
      <alignment horizontal="left" vertical="center"/>
    </xf>
    <xf numFmtId="3" fontId="17" fillId="35" borderId="365" xfId="1" applyNumberFormat="1" applyFont="1" applyFill="1" applyBorder="1" applyAlignment="1">
      <alignment horizontal="left" vertical="center"/>
    </xf>
    <xf numFmtId="3" fontId="17" fillId="35" borderId="459" xfId="1" applyNumberFormat="1" applyFont="1" applyFill="1" applyBorder="1" applyAlignment="1">
      <alignment horizontal="left" vertical="center"/>
    </xf>
    <xf numFmtId="3" fontId="38" fillId="4" borderId="311" xfId="1" applyNumberFormat="1" applyFont="1" applyFill="1" applyBorder="1" applyAlignment="1">
      <alignment horizontal="center" vertical="center"/>
    </xf>
    <xf numFmtId="3" fontId="150" fillId="25" borderId="245" xfId="1" applyNumberFormat="1" applyFont="1" applyFill="1" applyBorder="1" applyAlignment="1">
      <alignment horizontal="center" vertical="center"/>
    </xf>
    <xf numFmtId="3" fontId="38" fillId="24" borderId="259" xfId="1" applyNumberFormat="1" applyFont="1" applyFill="1" applyBorder="1" applyAlignment="1">
      <alignment horizontal="center" vertical="center"/>
    </xf>
    <xf numFmtId="3" fontId="17" fillId="24" borderId="316" xfId="1" applyNumberFormat="1" applyFont="1" applyFill="1" applyBorder="1" applyAlignment="1">
      <alignment horizontal="center" vertical="center"/>
    </xf>
    <xf numFmtId="3" fontId="17" fillId="25" borderId="24" xfId="1" applyNumberFormat="1" applyFont="1" applyFill="1" applyBorder="1" applyAlignment="1">
      <alignment horizontal="center" vertical="center"/>
    </xf>
    <xf numFmtId="3" fontId="150" fillId="24" borderId="331" xfId="1" applyNumberFormat="1" applyFont="1" applyFill="1" applyBorder="1" applyAlignment="1">
      <alignment horizontal="center" vertical="center"/>
    </xf>
    <xf numFmtId="3" fontId="38" fillId="42" borderId="64" xfId="1" applyNumberFormat="1" applyFont="1" applyFill="1" applyBorder="1" applyAlignment="1">
      <alignment horizontal="center" vertical="center"/>
    </xf>
    <xf numFmtId="3" fontId="38" fillId="41" borderId="169" xfId="1" applyNumberFormat="1" applyFont="1" applyFill="1" applyBorder="1" applyAlignment="1">
      <alignment horizontal="center" vertical="center"/>
    </xf>
    <xf numFmtId="3" fontId="38" fillId="26" borderId="24" xfId="1" applyNumberFormat="1" applyFont="1" applyFill="1" applyBorder="1" applyAlignment="1">
      <alignment horizontal="center" vertical="center"/>
    </xf>
    <xf numFmtId="3" fontId="150" fillId="35" borderId="365" xfId="1" applyNumberFormat="1" applyFont="1" applyFill="1" applyBorder="1" applyAlignment="1">
      <alignment horizontal="center" vertical="center"/>
    </xf>
    <xf numFmtId="3" fontId="150" fillId="29" borderId="508" xfId="1" applyNumberFormat="1" applyFont="1" applyFill="1" applyBorder="1" applyAlignment="1">
      <alignment horizontal="center" vertical="center"/>
    </xf>
    <xf numFmtId="3" fontId="17" fillId="42" borderId="482" xfId="1" applyNumberFormat="1" applyFont="1" applyFill="1" applyBorder="1" applyAlignment="1">
      <alignment horizontal="center" vertical="center"/>
    </xf>
    <xf numFmtId="3" fontId="38" fillId="3" borderId="509" xfId="1" applyNumberFormat="1" applyFont="1" applyFill="1" applyBorder="1" applyAlignment="1">
      <alignment horizontal="center" vertical="center"/>
    </xf>
    <xf numFmtId="3" fontId="150" fillId="24" borderId="520" xfId="1" applyNumberFormat="1" applyFont="1" applyFill="1" applyBorder="1" applyAlignment="1">
      <alignment horizontal="center" vertical="center"/>
    </xf>
    <xf numFmtId="3" fontId="17" fillId="26" borderId="482" xfId="1" applyNumberFormat="1" applyFont="1" applyFill="1" applyBorder="1" applyAlignment="1">
      <alignment horizontal="center" vertical="center"/>
    </xf>
    <xf numFmtId="3" fontId="17" fillId="27" borderId="482" xfId="1" applyNumberFormat="1" applyFont="1" applyFill="1" applyBorder="1" applyAlignment="1">
      <alignment horizontal="center" vertical="center"/>
    </xf>
    <xf numFmtId="3" fontId="38" fillId="41" borderId="520" xfId="1" applyNumberFormat="1" applyFont="1" applyFill="1" applyBorder="1" applyAlignment="1">
      <alignment horizontal="center" vertical="center"/>
    </xf>
    <xf numFmtId="3" fontId="150" fillId="25" borderId="509" xfId="1" applyNumberFormat="1" applyFont="1" applyFill="1" applyBorder="1" applyAlignment="1">
      <alignment horizontal="center" vertical="center"/>
    </xf>
    <xf numFmtId="3" fontId="17" fillId="35" borderId="520" xfId="1" applyNumberFormat="1" applyFont="1" applyFill="1" applyBorder="1" applyAlignment="1">
      <alignment horizontal="center" vertical="center"/>
    </xf>
    <xf numFmtId="0" fontId="150" fillId="52" borderId="301" xfId="1" applyFont="1" applyFill="1" applyBorder="1" applyAlignment="1">
      <alignment horizontal="center" vertical="center"/>
    </xf>
    <xf numFmtId="0" fontId="17" fillId="4" borderId="75" xfId="1" applyFont="1" applyFill="1" applyBorder="1" applyAlignment="1">
      <alignment horizontal="center" vertical="center"/>
    </xf>
    <xf numFmtId="0" fontId="17" fillId="41" borderId="169" xfId="1" applyFont="1" applyFill="1" applyBorder="1" applyAlignment="1">
      <alignment horizontal="center" vertical="center"/>
    </xf>
    <xf numFmtId="0" fontId="17" fillId="26" borderId="24" xfId="1" applyFont="1" applyFill="1" applyBorder="1" applyAlignment="1">
      <alignment horizontal="center" vertical="center"/>
    </xf>
    <xf numFmtId="0" fontId="150" fillId="35" borderId="24" xfId="1" applyFont="1" applyFill="1" applyBorder="1" applyAlignment="1">
      <alignment horizontal="center" vertical="center"/>
    </xf>
    <xf numFmtId="0" fontId="150" fillId="35" borderId="365" xfId="1" applyFont="1" applyFill="1" applyBorder="1" applyAlignment="1">
      <alignment horizontal="center" vertical="center"/>
    </xf>
    <xf numFmtId="172" fontId="38" fillId="4" borderId="75" xfId="1" applyNumberFormat="1" applyFont="1" applyFill="1" applyBorder="1" applyAlignment="1">
      <alignment horizontal="center" vertical="center"/>
    </xf>
    <xf numFmtId="172" fontId="38" fillId="4" borderId="24" xfId="1" applyNumberFormat="1" applyFont="1" applyFill="1" applyBorder="1" applyAlignment="1">
      <alignment horizontal="center" vertical="center"/>
    </xf>
    <xf numFmtId="172" fontId="38" fillId="25" borderId="283" xfId="1" applyNumberFormat="1" applyFont="1" applyFill="1" applyBorder="1" applyAlignment="1">
      <alignment horizontal="center" vertical="center"/>
    </xf>
    <xf numFmtId="172" fontId="17" fillId="24" borderId="331" xfId="1" applyNumberFormat="1" applyFont="1" applyFill="1" applyBorder="1" applyAlignment="1">
      <alignment horizontal="center" vertical="center"/>
    </xf>
    <xf numFmtId="172" fontId="38" fillId="27" borderId="72" xfId="1" applyNumberFormat="1" applyFont="1" applyFill="1" applyBorder="1" applyAlignment="1">
      <alignment horizontal="center" vertical="center"/>
    </xf>
    <xf numFmtId="172" fontId="17" fillId="27" borderId="331" xfId="1" applyNumberFormat="1" applyFont="1" applyFill="1" applyBorder="1" applyAlignment="1">
      <alignment horizontal="center" vertical="center"/>
    </xf>
    <xf numFmtId="172" fontId="38" fillId="42" borderId="332" xfId="1" applyNumberFormat="1" applyFont="1" applyFill="1" applyBorder="1" applyAlignment="1">
      <alignment horizontal="center" vertical="center"/>
    </xf>
    <xf numFmtId="172" fontId="17" fillId="25" borderId="331" xfId="1" applyNumberFormat="1" applyFont="1" applyFill="1" applyBorder="1" applyAlignment="1">
      <alignment horizontal="center" vertical="center"/>
    </xf>
    <xf numFmtId="172" fontId="17" fillId="35" borderId="459" xfId="1" applyNumberFormat="1" applyFont="1" applyFill="1" applyBorder="1" applyAlignment="1">
      <alignment horizontal="center" vertical="center"/>
    </xf>
    <xf numFmtId="14" fontId="38" fillId="4" borderId="75" xfId="1" applyNumberFormat="1" applyFont="1" applyFill="1" applyBorder="1" applyAlignment="1">
      <alignment horizontal="center" vertical="center"/>
    </xf>
    <xf numFmtId="14" fontId="38" fillId="4" borderId="24" xfId="1" applyNumberFormat="1" applyFont="1" applyFill="1" applyBorder="1" applyAlignment="1">
      <alignment horizontal="center" vertical="center"/>
    </xf>
    <xf numFmtId="14" fontId="38" fillId="25" borderId="283" xfId="1" applyNumberFormat="1" applyFont="1" applyFill="1" applyBorder="1" applyAlignment="1">
      <alignment horizontal="center" vertical="center"/>
    </xf>
    <xf numFmtId="14" fontId="38" fillId="42" borderId="332" xfId="1" applyNumberFormat="1" applyFont="1" applyFill="1" applyBorder="1" applyAlignment="1">
      <alignment horizontal="center" vertical="center"/>
    </xf>
    <xf numFmtId="14" fontId="38" fillId="24" borderId="24" xfId="1" quotePrefix="1" applyNumberFormat="1" applyFont="1" applyFill="1" applyBorder="1" applyAlignment="1">
      <alignment horizontal="center" vertical="center"/>
    </xf>
    <xf numFmtId="14" fontId="38" fillId="26" borderId="24" xfId="1" applyNumberFormat="1" applyFont="1" applyFill="1" applyBorder="1" applyAlignment="1">
      <alignment horizontal="center" vertical="center"/>
    </xf>
    <xf numFmtId="14" fontId="38" fillId="35" borderId="459" xfId="1" quotePrefix="1" applyNumberFormat="1" applyFont="1" applyFill="1" applyBorder="1" applyAlignment="1">
      <alignment horizontal="center" vertical="center"/>
    </xf>
    <xf numFmtId="14" fontId="38" fillId="29" borderId="508" xfId="1" quotePrefix="1" applyNumberFormat="1" applyFont="1" applyFill="1" applyBorder="1" applyAlignment="1">
      <alignment horizontal="center" vertical="center"/>
    </xf>
    <xf numFmtId="166" fontId="33" fillId="3" borderId="509" xfId="1" applyNumberFormat="1" applyFont="1" applyFill="1" applyBorder="1" applyAlignment="1">
      <alignment horizontal="center" vertical="center"/>
    </xf>
    <xf numFmtId="0" fontId="41" fillId="47" borderId="356" xfId="1" applyFont="1" applyFill="1" applyBorder="1" applyAlignment="1">
      <alignment horizontal="center" vertical="center"/>
    </xf>
    <xf numFmtId="3" fontId="39" fillId="24" borderId="244" xfId="1" applyNumberFormat="1" applyFont="1" applyFill="1" applyBorder="1" applyAlignment="1">
      <alignment horizontal="center" vertical="center"/>
    </xf>
    <xf numFmtId="3" fontId="17" fillId="24" borderId="340" xfId="1" applyNumberFormat="1" applyFont="1" applyFill="1" applyBorder="1" applyAlignment="1">
      <alignment horizontal="center" vertical="center"/>
    </xf>
    <xf numFmtId="0" fontId="104" fillId="4" borderId="537" xfId="15" applyFont="1" applyFill="1" applyBorder="1" applyAlignment="1">
      <alignment horizontal="left" vertical="center"/>
    </xf>
    <xf numFmtId="0" fontId="61" fillId="3" borderId="0" xfId="0" applyFont="1" applyFill="1"/>
    <xf numFmtId="3" fontId="17" fillId="0" borderId="267" xfId="1" applyNumberFormat="1" applyFont="1" applyFill="1" applyBorder="1" applyAlignment="1">
      <alignment horizontal="center" vertical="center"/>
    </xf>
    <xf numFmtId="3" fontId="150" fillId="4" borderId="261" xfId="1" applyNumberFormat="1" applyFont="1" applyFill="1" applyBorder="1" applyAlignment="1">
      <alignment horizontal="center" vertical="center"/>
    </xf>
    <xf numFmtId="0" fontId="35" fillId="3" borderId="469" xfId="1" applyFont="1" applyFill="1" applyBorder="1"/>
    <xf numFmtId="0" fontId="58" fillId="3" borderId="609" xfId="1" applyFont="1" applyFill="1" applyBorder="1" applyAlignment="1">
      <alignment horizontal="left" vertical="center"/>
    </xf>
    <xf numFmtId="0" fontId="23" fillId="3" borderId="32" xfId="1" applyFont="1" applyFill="1" applyBorder="1" applyAlignment="1">
      <alignment horizontal="center" vertical="center"/>
    </xf>
    <xf numFmtId="0" fontId="59" fillId="3" borderId="8" xfId="1" applyFont="1" applyFill="1" applyBorder="1" applyAlignment="1">
      <alignment horizontal="center"/>
    </xf>
    <xf numFmtId="3" fontId="41" fillId="3" borderId="313" xfId="1" applyNumberFormat="1" applyFont="1" applyFill="1" applyBorder="1" applyAlignment="1">
      <alignment horizontal="center" vertical="center"/>
    </xf>
    <xf numFmtId="3" fontId="41" fillId="24" borderId="326" xfId="1" applyNumberFormat="1" applyFont="1" applyFill="1" applyBorder="1" applyAlignment="1">
      <alignment horizontal="center" vertical="center"/>
    </xf>
    <xf numFmtId="3" fontId="17" fillId="24" borderId="386" xfId="1" applyNumberFormat="1" applyFont="1" applyFill="1" applyBorder="1" applyAlignment="1">
      <alignment horizontal="center" vertical="center"/>
    </xf>
    <xf numFmtId="3" fontId="38" fillId="5" borderId="164" xfId="1" applyNumberFormat="1" applyFont="1" applyFill="1" applyBorder="1" applyAlignment="1">
      <alignment horizontal="left" vertical="center"/>
    </xf>
    <xf numFmtId="0" fontId="17" fillId="5" borderId="164" xfId="1" applyFont="1" applyFill="1" applyBorder="1" applyAlignment="1">
      <alignment horizontal="center" vertical="center"/>
    </xf>
    <xf numFmtId="14" fontId="38" fillId="5" borderId="164" xfId="1" applyNumberFormat="1" applyFont="1" applyFill="1" applyBorder="1" applyAlignment="1">
      <alignment horizontal="center" vertical="center"/>
    </xf>
    <xf numFmtId="14" fontId="38" fillId="25" borderId="319" xfId="1" applyNumberFormat="1" applyFont="1" applyFill="1" applyBorder="1" applyAlignment="1">
      <alignment horizontal="center" vertical="center"/>
    </xf>
    <xf numFmtId="0" fontId="23" fillId="4" borderId="263" xfId="1" applyFont="1" applyFill="1" applyBorder="1" applyAlignment="1">
      <alignment horizontal="center" vertical="center"/>
    </xf>
    <xf numFmtId="0" fontId="23" fillId="4" borderId="32" xfId="1" applyFont="1" applyFill="1" applyBorder="1" applyAlignment="1">
      <alignment horizontal="center" vertical="center"/>
    </xf>
    <xf numFmtId="0" fontId="23" fillId="24" borderId="31" xfId="1" applyFont="1" applyFill="1" applyBorder="1" applyAlignment="1">
      <alignment horizontal="center" vertical="center"/>
    </xf>
    <xf numFmtId="0" fontId="107" fillId="41" borderId="25" xfId="1" applyFont="1" applyFill="1" applyBorder="1" applyAlignment="1">
      <alignment horizontal="center" vertical="center"/>
    </xf>
    <xf numFmtId="0" fontId="23" fillId="22" borderId="25" xfId="1" applyFont="1" applyFill="1" applyBorder="1" applyAlignment="1">
      <alignment horizontal="center" vertical="center"/>
    </xf>
    <xf numFmtId="0" fontId="23" fillId="3" borderId="21" xfId="1" applyFont="1" applyFill="1" applyBorder="1" applyAlignment="1">
      <alignment horizontal="center" vertical="center"/>
    </xf>
    <xf numFmtId="0" fontId="43" fillId="38" borderId="25" xfId="1" applyFont="1" applyFill="1" applyBorder="1" applyAlignment="1">
      <alignment horizontal="center" vertical="center"/>
    </xf>
    <xf numFmtId="0" fontId="43" fillId="35" borderId="25" xfId="1" applyFont="1" applyFill="1" applyBorder="1" applyAlignment="1">
      <alignment horizontal="center" vertical="center"/>
    </xf>
    <xf numFmtId="0" fontId="43" fillId="4" borderId="28" xfId="1" applyFont="1" applyFill="1" applyBorder="1" applyAlignment="1">
      <alignment horizontal="center" vertical="center"/>
    </xf>
    <xf numFmtId="0" fontId="43" fillId="42" borderId="246" xfId="1" applyFont="1" applyFill="1" applyBorder="1" applyAlignment="1">
      <alignment horizontal="center" vertical="center"/>
    </xf>
    <xf numFmtId="0" fontId="43" fillId="24" borderId="286" xfId="1" applyFont="1" applyFill="1" applyBorder="1" applyAlignment="1">
      <alignment horizontal="center" vertical="center"/>
    </xf>
    <xf numFmtId="0" fontId="23" fillId="25" borderId="79" xfId="1" applyFont="1" applyFill="1" applyBorder="1" applyAlignment="1">
      <alignment horizontal="center" vertical="center"/>
    </xf>
    <xf numFmtId="0" fontId="43" fillId="27" borderId="28" xfId="1" applyFont="1" applyFill="1" applyBorder="1" applyAlignment="1">
      <alignment horizontal="center" vertical="center"/>
    </xf>
    <xf numFmtId="0" fontId="23" fillId="27" borderId="246" xfId="1" applyFont="1" applyFill="1" applyBorder="1" applyAlignment="1">
      <alignment horizontal="center" vertical="center"/>
    </xf>
    <xf numFmtId="0" fontId="23" fillId="26" borderId="246" xfId="1" applyFont="1" applyFill="1" applyBorder="1" applyAlignment="1">
      <alignment horizontal="center" vertical="center"/>
    </xf>
    <xf numFmtId="0" fontId="23" fillId="20" borderId="246" xfId="1" applyFont="1" applyFill="1" applyBorder="1" applyAlignment="1">
      <alignment horizontal="center" vertical="center"/>
    </xf>
    <xf numFmtId="0" fontId="23" fillId="29" borderId="338" xfId="1" applyFont="1" applyFill="1" applyBorder="1" applyAlignment="1">
      <alignment horizontal="center" vertical="center"/>
    </xf>
    <xf numFmtId="0" fontId="104" fillId="4" borderId="264" xfId="15" applyFont="1" applyFill="1" applyBorder="1" applyAlignment="1">
      <alignment horizontal="left" vertical="center"/>
    </xf>
    <xf numFmtId="0" fontId="63" fillId="24" borderId="0" xfId="15" applyFont="1" applyFill="1" applyBorder="1" applyAlignment="1">
      <alignment horizontal="left" vertical="center"/>
    </xf>
    <xf numFmtId="0" fontId="104" fillId="42" borderId="4" xfId="15" applyFont="1" applyFill="1" applyBorder="1" applyAlignment="1">
      <alignment horizontal="left" vertical="center"/>
    </xf>
    <xf numFmtId="0" fontId="111" fillId="22" borderId="0" xfId="15" applyFont="1" applyFill="1" applyBorder="1" applyAlignment="1">
      <alignment horizontal="left" vertical="center"/>
    </xf>
    <xf numFmtId="0" fontId="116" fillId="27" borderId="4" xfId="15" applyFont="1" applyFill="1" applyBorder="1" applyAlignment="1">
      <alignment horizontal="left" vertical="center"/>
    </xf>
    <xf numFmtId="0" fontId="104" fillId="26" borderId="8" xfId="15" applyFont="1" applyFill="1" applyBorder="1" applyAlignment="1">
      <alignment horizontal="left" vertical="center"/>
    </xf>
    <xf numFmtId="0" fontId="110" fillId="3" borderId="0" xfId="15" applyFont="1" applyFill="1" applyBorder="1" applyAlignment="1">
      <alignment horizontal="left" vertical="center"/>
    </xf>
    <xf numFmtId="0" fontId="104" fillId="61" borderId="0" xfId="15" applyFont="1" applyFill="1" applyBorder="1" applyAlignment="1">
      <alignment horizontal="left" vertical="center"/>
    </xf>
    <xf numFmtId="0" fontId="114" fillId="21" borderId="8" xfId="1" applyFont="1" applyFill="1" applyBorder="1" applyAlignment="1">
      <alignment horizontal="left" vertical="center"/>
    </xf>
    <xf numFmtId="0" fontId="73" fillId="37" borderId="0" xfId="1" applyFont="1" applyFill="1" applyBorder="1" applyAlignment="1">
      <alignment horizontal="left" vertical="center"/>
    </xf>
    <xf numFmtId="0" fontId="146" fillId="29" borderId="8" xfId="15" applyFont="1" applyFill="1" applyBorder="1" applyAlignment="1">
      <alignment horizontal="left" vertical="center"/>
    </xf>
    <xf numFmtId="0" fontId="109" fillId="29" borderId="4" xfId="15" applyFont="1" applyFill="1" applyBorder="1" applyAlignment="1">
      <alignment horizontal="left" vertical="center"/>
    </xf>
    <xf numFmtId="0" fontId="104" fillId="56" borderId="287" xfId="15" applyFont="1" applyFill="1" applyBorder="1" applyAlignment="1">
      <alignment horizontal="left" vertical="center"/>
    </xf>
    <xf numFmtId="0" fontId="49" fillId="4" borderId="0" xfId="1" applyFont="1" applyFill="1" applyBorder="1" applyAlignment="1">
      <alignment horizontal="left" vertical="center"/>
    </xf>
    <xf numFmtId="0" fontId="104" fillId="17" borderId="247" xfId="15" applyFont="1" applyFill="1" applyBorder="1" applyAlignment="1">
      <alignment horizontal="left" vertical="center"/>
    </xf>
    <xf numFmtId="0" fontId="112" fillId="24" borderId="362" xfId="15" applyFont="1" applyFill="1" applyBorder="1" applyAlignment="1">
      <alignment horizontal="left" vertical="center"/>
    </xf>
    <xf numFmtId="166" fontId="104" fillId="24" borderId="337" xfId="15" applyNumberFormat="1" applyFont="1" applyFill="1" applyBorder="1" applyAlignment="1">
      <alignment horizontal="left" vertical="center"/>
    </xf>
    <xf numFmtId="0" fontId="53" fillId="3" borderId="247" xfId="1" applyFont="1" applyFill="1" applyBorder="1" applyAlignment="1">
      <alignment horizontal="left" vertical="center"/>
    </xf>
    <xf numFmtId="0" fontId="104" fillId="24" borderId="507" xfId="15" applyFont="1" applyFill="1" applyBorder="1" applyAlignment="1">
      <alignment horizontal="left" vertical="center"/>
    </xf>
    <xf numFmtId="0" fontId="112" fillId="24" borderId="287" xfId="15" applyFont="1" applyFill="1" applyBorder="1" applyAlignment="1">
      <alignment horizontal="left" vertical="center"/>
    </xf>
    <xf numFmtId="0" fontId="104" fillId="24" borderId="402" xfId="15" applyFont="1" applyFill="1" applyBorder="1" applyAlignment="1">
      <alignment horizontal="left" vertical="center"/>
    </xf>
    <xf numFmtId="0" fontId="104" fillId="25" borderId="287" xfId="15" applyFont="1" applyFill="1" applyBorder="1" applyAlignment="1">
      <alignment horizontal="left" vertical="center"/>
    </xf>
    <xf numFmtId="0" fontId="63" fillId="41" borderId="337" xfId="15" applyFont="1" applyFill="1" applyBorder="1" applyAlignment="1">
      <alignment horizontal="left" vertical="center"/>
    </xf>
    <xf numFmtId="0" fontId="112" fillId="26" borderId="337" xfId="15" applyFont="1" applyFill="1" applyBorder="1" applyAlignment="1">
      <alignment horizontal="left" vertical="center"/>
    </xf>
    <xf numFmtId="0" fontId="109" fillId="24" borderId="380" xfId="15" applyFont="1" applyFill="1" applyBorder="1" applyAlignment="1">
      <alignment horizontal="left" vertical="center"/>
    </xf>
    <xf numFmtId="0" fontId="104" fillId="41" borderId="490" xfId="15" applyFont="1" applyFill="1" applyBorder="1" applyAlignment="1">
      <alignment horizontal="left" vertical="center"/>
    </xf>
    <xf numFmtId="0" fontId="114" fillId="3" borderId="0" xfId="1" applyFont="1" applyFill="1" applyBorder="1" applyAlignment="1">
      <alignment horizontal="left" vertical="center"/>
    </xf>
    <xf numFmtId="0" fontId="116" fillId="24" borderId="337" xfId="15" applyFont="1" applyFill="1" applyBorder="1" applyAlignment="1">
      <alignment horizontal="left" vertical="center"/>
    </xf>
    <xf numFmtId="0" fontId="104" fillId="26" borderId="77" xfId="15" applyFont="1" applyFill="1" applyBorder="1" applyAlignment="1">
      <alignment horizontal="left" vertical="center"/>
    </xf>
    <xf numFmtId="0" fontId="104" fillId="27" borderId="247" xfId="15" applyFont="1" applyFill="1" applyBorder="1" applyAlignment="1">
      <alignment horizontal="left" vertical="center"/>
    </xf>
    <xf numFmtId="0" fontId="63" fillId="17" borderId="337" xfId="1" applyFont="1" applyFill="1" applyBorder="1" applyAlignment="1">
      <alignment horizontal="left" vertical="center"/>
    </xf>
    <xf numFmtId="0" fontId="49" fillId="24" borderId="337" xfId="0" applyFont="1" applyFill="1" applyBorder="1" applyAlignment="1">
      <alignment vertical="center"/>
    </xf>
    <xf numFmtId="0" fontId="104" fillId="56" borderId="473" xfId="15" applyFont="1" applyFill="1" applyBorder="1" applyAlignment="1">
      <alignment horizontal="left" vertical="center"/>
    </xf>
    <xf numFmtId="0" fontId="109" fillId="25" borderId="77" xfId="15" applyFont="1" applyFill="1" applyBorder="1" applyAlignment="1">
      <alignment horizontal="left" vertical="center"/>
    </xf>
    <xf numFmtId="0" fontId="73" fillId="34" borderId="77" xfId="1" applyFont="1" applyFill="1" applyBorder="1" applyAlignment="1">
      <alignment horizontal="left" vertical="center"/>
    </xf>
    <xf numFmtId="0" fontId="110" fillId="20" borderId="0" xfId="15" applyFont="1" applyFill="1" applyBorder="1" applyAlignment="1">
      <alignment horizontal="left" vertical="center"/>
    </xf>
    <xf numFmtId="0" fontId="104" fillId="34" borderId="254" xfId="15" applyFont="1" applyFill="1" applyBorder="1" applyAlignment="1">
      <alignment horizontal="left" vertical="center"/>
    </xf>
    <xf numFmtId="0" fontId="104" fillId="56" borderId="380" xfId="15" applyFont="1" applyFill="1" applyBorder="1" applyAlignment="1">
      <alignment horizontal="left" vertical="center"/>
    </xf>
    <xf numFmtId="0" fontId="115" fillId="30" borderId="337" xfId="1" applyFont="1" applyFill="1" applyBorder="1" applyAlignment="1">
      <alignment horizontal="left" vertical="center"/>
    </xf>
    <xf numFmtId="0" fontId="73" fillId="17" borderId="499" xfId="1" applyFont="1" applyFill="1" applyBorder="1" applyAlignment="1">
      <alignment horizontal="left" vertical="center"/>
    </xf>
    <xf numFmtId="0" fontId="59" fillId="26" borderId="4" xfId="1" applyFont="1" applyFill="1" applyBorder="1" applyAlignment="1">
      <alignment horizontal="center"/>
    </xf>
    <xf numFmtId="0" fontId="59" fillId="41" borderId="8" xfId="1" applyFont="1" applyFill="1" applyBorder="1" applyAlignment="1">
      <alignment horizontal="center"/>
    </xf>
    <xf numFmtId="0" fontId="59" fillId="42" borderId="498" xfId="1" applyFont="1" applyFill="1" applyBorder="1" applyAlignment="1">
      <alignment horizontal="center" vertical="center"/>
    </xf>
    <xf numFmtId="0" fontId="117" fillId="26" borderId="498" xfId="1" applyFont="1" applyFill="1" applyBorder="1" applyAlignment="1">
      <alignment horizontal="center"/>
    </xf>
    <xf numFmtId="0" fontId="59" fillId="24" borderId="499" xfId="1" applyFont="1" applyFill="1" applyBorder="1" applyAlignment="1">
      <alignment horizontal="center"/>
    </xf>
    <xf numFmtId="0" fontId="59" fillId="26" borderId="499" xfId="1" applyFont="1" applyFill="1" applyBorder="1" applyAlignment="1">
      <alignment horizontal="center"/>
    </xf>
    <xf numFmtId="0" fontId="117" fillId="27" borderId="499" xfId="1" applyFont="1" applyFill="1" applyBorder="1" applyAlignment="1">
      <alignment horizontal="center"/>
    </xf>
    <xf numFmtId="0" fontId="117" fillId="25" borderId="499" xfId="1" applyFont="1" applyFill="1" applyBorder="1" applyAlignment="1">
      <alignment horizontal="center"/>
    </xf>
    <xf numFmtId="0" fontId="59" fillId="37" borderId="0" xfId="1" applyFont="1" applyFill="1" applyBorder="1" applyAlignment="1">
      <alignment horizontal="center"/>
    </xf>
    <xf numFmtId="3" fontId="17" fillId="3" borderId="299" xfId="1" applyNumberFormat="1" applyFont="1" applyFill="1" applyBorder="1" applyAlignment="1">
      <alignment horizontal="center" vertical="center"/>
    </xf>
    <xf numFmtId="3" fontId="17" fillId="4" borderId="265" xfId="1" applyNumberFormat="1" applyFont="1" applyFill="1" applyBorder="1" applyAlignment="1">
      <alignment horizontal="center" vertical="center"/>
    </xf>
    <xf numFmtId="3" fontId="17" fillId="52" borderId="269" xfId="1" applyNumberFormat="1" applyFont="1" applyFill="1" applyBorder="1" applyAlignment="1">
      <alignment horizontal="center" vertical="center"/>
    </xf>
    <xf numFmtId="3" fontId="17" fillId="52" borderId="315" xfId="1" applyNumberFormat="1" applyFont="1" applyFill="1" applyBorder="1" applyAlignment="1">
      <alignment horizontal="center" vertical="center"/>
    </xf>
    <xf numFmtId="3" fontId="17" fillId="26" borderId="271" xfId="1" applyNumberFormat="1" applyFont="1" applyFill="1" applyBorder="1" applyAlignment="1">
      <alignment horizontal="center" vertical="center"/>
    </xf>
    <xf numFmtId="3" fontId="17" fillId="42" borderId="277" xfId="1" applyNumberFormat="1" applyFont="1" applyFill="1" applyBorder="1" applyAlignment="1">
      <alignment horizontal="center" vertical="center"/>
    </xf>
    <xf numFmtId="3" fontId="39" fillId="27" borderId="242" xfId="1" applyNumberFormat="1" applyFont="1" applyFill="1" applyBorder="1" applyAlignment="1">
      <alignment horizontal="center" vertical="center"/>
    </xf>
    <xf numFmtId="3" fontId="39" fillId="41" borderId="30" xfId="1" applyNumberFormat="1" applyFont="1" applyFill="1" applyBorder="1" applyAlignment="1">
      <alignment horizontal="center" vertical="center"/>
    </xf>
    <xf numFmtId="3" fontId="39" fillId="41" borderId="260" xfId="1" applyNumberFormat="1" applyFont="1" applyFill="1" applyBorder="1" applyAlignment="1">
      <alignment horizontal="center" vertical="center"/>
    </xf>
    <xf numFmtId="3" fontId="17" fillId="50" borderId="326" xfId="1" applyNumberFormat="1" applyFont="1" applyFill="1" applyBorder="1" applyAlignment="1">
      <alignment horizontal="center" vertical="center"/>
    </xf>
    <xf numFmtId="3" fontId="39" fillId="22" borderId="99" xfId="1" applyNumberFormat="1" applyFont="1" applyFill="1" applyBorder="1" applyAlignment="1">
      <alignment horizontal="center" vertical="center"/>
    </xf>
    <xf numFmtId="3" fontId="39" fillId="3" borderId="326" xfId="1" applyNumberFormat="1" applyFont="1" applyFill="1" applyBorder="1" applyAlignment="1">
      <alignment horizontal="center" vertical="center"/>
    </xf>
    <xf numFmtId="3" fontId="17" fillId="36" borderId="99" xfId="1" applyNumberFormat="1" applyFont="1" applyFill="1" applyBorder="1" applyAlignment="1">
      <alignment horizontal="center" vertical="center"/>
    </xf>
    <xf numFmtId="3" fontId="39" fillId="21" borderId="365" xfId="1" applyNumberFormat="1" applyFont="1" applyFill="1" applyBorder="1" applyAlignment="1">
      <alignment horizontal="center" vertical="center"/>
    </xf>
    <xf numFmtId="3" fontId="17" fillId="34" borderId="459" xfId="1" applyNumberFormat="1" applyFont="1" applyFill="1" applyBorder="1" applyAlignment="1">
      <alignment horizontal="center" vertical="center"/>
    </xf>
    <xf numFmtId="3" fontId="17" fillId="28" borderId="426" xfId="1" applyNumberFormat="1" applyFont="1" applyFill="1" applyBorder="1" applyAlignment="1">
      <alignment horizontal="center" vertical="center"/>
    </xf>
    <xf numFmtId="3" fontId="17" fillId="52" borderId="303" xfId="1" applyNumberFormat="1" applyFont="1" applyFill="1" applyBorder="1" applyAlignment="1">
      <alignment horizontal="center" vertical="center"/>
    </xf>
    <xf numFmtId="3" fontId="38" fillId="4" borderId="328" xfId="1" applyNumberFormat="1" applyFont="1" applyFill="1" applyBorder="1" applyAlignment="1">
      <alignment horizontal="center" vertical="center" wrapText="1"/>
    </xf>
    <xf numFmtId="3" fontId="17" fillId="42" borderId="256" xfId="1" applyNumberFormat="1" applyFont="1" applyFill="1" applyBorder="1" applyAlignment="1">
      <alignment horizontal="center" vertical="center"/>
    </xf>
    <xf numFmtId="3" fontId="17" fillId="24" borderId="335" xfId="1" applyNumberFormat="1" applyFont="1" applyFill="1" applyBorder="1" applyAlignment="1">
      <alignment horizontal="center" vertical="center" wrapText="1"/>
    </xf>
    <xf numFmtId="3" fontId="39" fillId="24" borderId="280" xfId="1" applyNumberFormat="1" applyFont="1" applyFill="1" applyBorder="1" applyAlignment="1">
      <alignment horizontal="center" vertical="center"/>
    </xf>
    <xf numFmtId="3" fontId="17" fillId="41" borderId="256" xfId="1" applyNumberFormat="1" applyFont="1" applyFill="1" applyBorder="1" applyAlignment="1">
      <alignment horizontal="center" vertical="center"/>
    </xf>
    <xf numFmtId="3" fontId="39" fillId="25" borderId="333" xfId="1" applyNumberFormat="1" applyFont="1" applyFill="1" applyBorder="1" applyAlignment="1">
      <alignment horizontal="center" vertical="center"/>
    </xf>
    <xf numFmtId="3" fontId="17" fillId="27" borderId="333" xfId="1" applyNumberFormat="1" applyFont="1" applyFill="1" applyBorder="1" applyAlignment="1">
      <alignment horizontal="center" vertical="center"/>
    </xf>
    <xf numFmtId="3" fontId="17" fillId="27" borderId="255" xfId="1" applyNumberFormat="1" applyFont="1" applyFill="1" applyBorder="1" applyAlignment="1">
      <alignment horizontal="center" vertical="center"/>
    </xf>
    <xf numFmtId="3" fontId="17" fillId="41" borderId="332" xfId="1" applyNumberFormat="1" applyFont="1" applyFill="1" applyBorder="1" applyAlignment="1">
      <alignment horizontal="center" vertical="center"/>
    </xf>
    <xf numFmtId="3" fontId="17" fillId="26" borderId="326" xfId="1" applyNumberFormat="1" applyFont="1" applyFill="1" applyBorder="1" applyAlignment="1">
      <alignment horizontal="center" vertical="center"/>
    </xf>
    <xf numFmtId="3" fontId="39" fillId="38" borderId="99" xfId="1" applyNumberFormat="1" applyFont="1" applyFill="1" applyBorder="1" applyAlignment="1">
      <alignment horizontal="center" vertical="center"/>
    </xf>
    <xf numFmtId="3" fontId="39" fillId="20" borderId="99" xfId="1" applyNumberFormat="1" applyFont="1" applyFill="1" applyBorder="1" applyAlignment="1">
      <alignment horizontal="center" vertical="center"/>
    </xf>
    <xf numFmtId="3" fontId="17" fillId="20" borderId="417" xfId="1" applyNumberFormat="1" applyFont="1" applyFill="1" applyBorder="1" applyAlignment="1">
      <alignment horizontal="center" vertical="center"/>
    </xf>
    <xf numFmtId="3" fontId="17" fillId="28" borderId="386" xfId="1" applyNumberFormat="1" applyFont="1" applyFill="1" applyBorder="1" applyAlignment="1">
      <alignment horizontal="center" vertical="center"/>
    </xf>
    <xf numFmtId="3" fontId="17" fillId="4" borderId="266" xfId="1" applyNumberFormat="1" applyFont="1" applyFill="1" applyBorder="1" applyAlignment="1">
      <alignment horizontal="center" vertical="center"/>
    </xf>
    <xf numFmtId="3" fontId="37" fillId="4" borderId="281" xfId="1" applyNumberFormat="1" applyFont="1" applyFill="1" applyBorder="1" applyAlignment="1">
      <alignment horizontal="center" vertical="center"/>
    </xf>
    <xf numFmtId="3" fontId="17" fillId="47" borderId="243" xfId="1" applyNumberFormat="1" applyFont="1" applyFill="1" applyBorder="1" applyAlignment="1">
      <alignment horizontal="center" vertical="center"/>
    </xf>
    <xf numFmtId="3" fontId="39" fillId="24" borderId="173" xfId="1" applyNumberFormat="1" applyFont="1" applyFill="1" applyBorder="1" applyAlignment="1">
      <alignment horizontal="center" vertical="center"/>
    </xf>
    <xf numFmtId="3" fontId="39" fillId="26" borderId="27" xfId="1" applyNumberFormat="1" applyFont="1" applyFill="1" applyBorder="1" applyAlignment="1">
      <alignment horizontal="center" vertical="center"/>
    </xf>
    <xf numFmtId="3" fontId="17" fillId="42" borderId="281" xfId="1" applyNumberFormat="1" applyFont="1" applyFill="1" applyBorder="1" applyAlignment="1">
      <alignment horizontal="center" vertical="center"/>
    </xf>
    <xf numFmtId="3" fontId="39" fillId="27" borderId="27" xfId="1" applyNumberFormat="1" applyFont="1" applyFill="1" applyBorder="1" applyAlignment="1">
      <alignment horizontal="center" vertical="center"/>
    </xf>
    <xf numFmtId="3" fontId="39" fillId="41" borderId="173" xfId="1" applyNumberFormat="1" applyFont="1" applyFill="1" applyBorder="1" applyAlignment="1">
      <alignment horizontal="center" vertical="center"/>
    </xf>
    <xf numFmtId="3" fontId="39" fillId="50" borderId="325" xfId="1" applyNumberFormat="1" applyFont="1" applyFill="1" applyBorder="1" applyAlignment="1">
      <alignment horizontal="center" vertical="center"/>
    </xf>
    <xf numFmtId="3" fontId="39" fillId="25" borderId="169" xfId="1" applyNumberFormat="1" applyFont="1" applyFill="1" applyBorder="1" applyAlignment="1">
      <alignment horizontal="center" vertical="center"/>
    </xf>
    <xf numFmtId="3" fontId="39" fillId="22" borderId="64" xfId="1" applyNumberFormat="1" applyFont="1" applyFill="1" applyBorder="1" applyAlignment="1">
      <alignment horizontal="center" vertical="center"/>
    </xf>
    <xf numFmtId="3" fontId="37" fillId="24" borderId="169" xfId="1" applyNumberFormat="1" applyFont="1" applyFill="1" applyBorder="1" applyAlignment="1">
      <alignment horizontal="center" vertical="center"/>
    </xf>
    <xf numFmtId="3" fontId="39" fillId="3" borderId="325" xfId="1" applyNumberFormat="1" applyFont="1" applyFill="1" applyBorder="1" applyAlignment="1">
      <alignment horizontal="center" vertical="center"/>
    </xf>
    <xf numFmtId="3" fontId="37" fillId="24" borderId="72" xfId="1" applyNumberFormat="1" applyFont="1" applyFill="1" applyBorder="1" applyAlignment="1">
      <alignment horizontal="center" vertical="center"/>
    </xf>
    <xf numFmtId="3" fontId="17" fillId="36" borderId="64" xfId="1" applyNumberFormat="1" applyFont="1" applyFill="1" applyBorder="1" applyAlignment="1">
      <alignment horizontal="center" vertical="center"/>
    </xf>
    <xf numFmtId="3" fontId="17" fillId="4" borderId="273" xfId="1" applyNumberFormat="1" applyFont="1" applyFill="1" applyBorder="1" applyAlignment="1">
      <alignment horizontal="center" vertical="center"/>
    </xf>
    <xf numFmtId="3" fontId="41" fillId="4" borderId="278" xfId="1" applyNumberFormat="1" applyFont="1" applyFill="1" applyBorder="1" applyAlignment="1">
      <alignment horizontal="center" vertical="center"/>
    </xf>
    <xf numFmtId="3" fontId="17" fillId="52" borderId="316" xfId="1" applyNumberFormat="1" applyFont="1" applyFill="1" applyBorder="1" applyAlignment="1">
      <alignment horizontal="center" vertical="center"/>
    </xf>
    <xf numFmtId="3" fontId="39" fillId="4" borderId="278" xfId="1" applyNumberFormat="1" applyFont="1" applyFill="1" applyBorder="1" applyAlignment="1">
      <alignment horizontal="center" vertical="center"/>
    </xf>
    <xf numFmtId="3" fontId="39" fillId="52" borderId="291" xfId="1" applyNumberFormat="1" applyFont="1" applyFill="1" applyBorder="1" applyAlignment="1">
      <alignment horizontal="center" vertical="center"/>
    </xf>
    <xf numFmtId="3" fontId="38" fillId="4" borderId="316" xfId="1" applyNumberFormat="1" applyFont="1" applyFill="1" applyBorder="1" applyAlignment="1">
      <alignment horizontal="center" vertical="center" wrapText="1"/>
    </xf>
    <xf numFmtId="3" fontId="39" fillId="4" borderId="26" xfId="1" applyNumberFormat="1" applyFont="1" applyFill="1" applyBorder="1" applyAlignment="1">
      <alignment horizontal="center" vertical="center"/>
    </xf>
    <xf numFmtId="3" fontId="39" fillId="42" borderId="248" xfId="1" applyNumberFormat="1" applyFont="1" applyFill="1" applyBorder="1" applyAlignment="1">
      <alignment horizontal="center" vertical="center"/>
    </xf>
    <xf numFmtId="3" fontId="17" fillId="25" borderId="243" xfId="1" applyNumberFormat="1" applyFont="1" applyFill="1" applyBorder="1" applyAlignment="1">
      <alignment horizontal="center" vertical="center"/>
    </xf>
    <xf numFmtId="3" fontId="41" fillId="24" borderId="343" xfId="1" applyNumberFormat="1" applyFont="1" applyFill="1" applyBorder="1" applyAlignment="1">
      <alignment horizontal="center" vertical="center" wrapText="1"/>
    </xf>
    <xf numFmtId="3" fontId="39" fillId="24" borderId="294" xfId="1" applyNumberFormat="1" applyFont="1" applyFill="1" applyBorder="1" applyAlignment="1">
      <alignment horizontal="center" vertical="center"/>
    </xf>
    <xf numFmtId="3" fontId="39" fillId="27" borderId="245" xfId="1" applyNumberFormat="1" applyFont="1" applyFill="1" applyBorder="1" applyAlignment="1">
      <alignment horizontal="center" vertical="center"/>
    </xf>
    <xf numFmtId="3" fontId="37" fillId="35" borderId="24" xfId="1" applyNumberFormat="1" applyFont="1" applyFill="1" applyBorder="1" applyAlignment="1">
      <alignment horizontal="center" vertical="center"/>
    </xf>
    <xf numFmtId="3" fontId="39" fillId="20" borderId="64" xfId="1" applyNumberFormat="1" applyFont="1" applyFill="1" applyBorder="1" applyAlignment="1">
      <alignment horizontal="center" vertical="center"/>
    </xf>
    <xf numFmtId="3" fontId="17" fillId="0" borderId="312" xfId="1" applyNumberFormat="1" applyFont="1" applyFill="1" applyBorder="1" applyAlignment="1">
      <alignment horizontal="center" vertical="center"/>
    </xf>
    <xf numFmtId="3" fontId="38" fillId="0" borderId="274" xfId="1" applyNumberFormat="1" applyFont="1" applyFill="1" applyBorder="1" applyAlignment="1">
      <alignment horizontal="center" vertical="center"/>
    </xf>
    <xf numFmtId="3" fontId="38" fillId="0" borderId="459" xfId="1" applyNumberFormat="1" applyFont="1" applyFill="1" applyBorder="1" applyAlignment="1" applyProtection="1">
      <alignment horizontal="center" vertical="center"/>
      <protection locked="0"/>
    </xf>
    <xf numFmtId="3" fontId="38" fillId="0" borderId="275" xfId="1" applyNumberFormat="1" applyFont="1" applyFill="1" applyBorder="1" applyAlignment="1">
      <alignment horizontal="center" vertical="center"/>
    </xf>
    <xf numFmtId="3" fontId="139" fillId="0" borderId="245" xfId="1" applyNumberFormat="1" applyFont="1" applyFill="1" applyBorder="1" applyAlignment="1">
      <alignment horizontal="center" vertical="center"/>
    </xf>
    <xf numFmtId="3" fontId="106" fillId="0" borderId="332" xfId="1" applyNumberFormat="1" applyFont="1" applyFill="1" applyBorder="1" applyAlignment="1">
      <alignment horizontal="center" vertical="center"/>
    </xf>
    <xf numFmtId="3" fontId="38" fillId="0" borderId="72" xfId="1" applyNumberFormat="1" applyFont="1" applyFill="1" applyBorder="1" applyAlignment="1">
      <alignment horizontal="center" vertical="center" shrinkToFit="1"/>
    </xf>
    <xf numFmtId="3" fontId="17" fillId="0" borderId="169" xfId="1" applyNumberFormat="1" applyFont="1" applyFill="1" applyBorder="1" applyAlignment="1">
      <alignment horizontal="center" vertical="center" shrinkToFit="1"/>
    </xf>
    <xf numFmtId="3" fontId="17" fillId="9" borderId="64" xfId="1" applyNumberFormat="1" applyFont="1" applyFill="1" applyBorder="1" applyAlignment="1">
      <alignment horizontal="center" vertical="center"/>
    </xf>
    <xf numFmtId="3" fontId="17" fillId="0" borderId="73" xfId="1" applyNumberFormat="1" applyFont="1" applyFill="1" applyBorder="1" applyAlignment="1">
      <alignment horizontal="center" vertical="center"/>
    </xf>
    <xf numFmtId="3" fontId="17" fillId="8" borderId="300" xfId="1" applyNumberFormat="1" applyFont="1" applyFill="1" applyBorder="1" applyAlignment="1">
      <alignment horizontal="center" vertical="center"/>
    </xf>
    <xf numFmtId="3" fontId="17" fillId="8" borderId="321" xfId="1" applyNumberFormat="1" applyFont="1" applyFill="1" applyBorder="1" applyAlignment="1">
      <alignment horizontal="center" vertical="center"/>
    </xf>
    <xf numFmtId="3" fontId="106" fillId="0" borderId="116" xfId="1" applyNumberFormat="1" applyFont="1" applyFill="1" applyBorder="1" applyAlignment="1">
      <alignment horizontal="center" vertical="center"/>
    </xf>
    <xf numFmtId="3" fontId="17" fillId="16" borderId="64" xfId="1" applyNumberFormat="1" applyFont="1" applyFill="1" applyBorder="1" applyAlignment="1">
      <alignment horizontal="center" vertical="center"/>
    </xf>
    <xf numFmtId="3" fontId="106" fillId="0" borderId="283" xfId="1" applyNumberFormat="1" applyFont="1" applyFill="1" applyBorder="1" applyAlignment="1">
      <alignment horizontal="center" vertical="center"/>
    </xf>
    <xf numFmtId="3" fontId="38" fillId="8" borderId="417" xfId="1" applyNumberFormat="1" applyFont="1" applyFill="1" applyBorder="1" applyAlignment="1">
      <alignment horizontal="center" vertical="center"/>
    </xf>
    <xf numFmtId="3" fontId="17" fillId="4" borderId="261" xfId="1" applyNumberFormat="1" applyFont="1" applyFill="1" applyBorder="1" applyAlignment="1">
      <alignment horizontal="left" vertical="center"/>
    </xf>
    <xf numFmtId="3" fontId="38" fillId="52" borderId="260" xfId="1" applyNumberFormat="1" applyFont="1" applyFill="1" applyBorder="1" applyAlignment="1">
      <alignment horizontal="left" vertical="center"/>
    </xf>
    <xf numFmtId="3" fontId="38" fillId="52" borderId="300" xfId="1" applyNumberFormat="1" applyFont="1" applyFill="1" applyBorder="1" applyAlignment="1">
      <alignment horizontal="left" vertical="center"/>
    </xf>
    <xf numFmtId="3" fontId="17" fillId="24" borderId="331" xfId="1" applyNumberFormat="1" applyFont="1" applyFill="1" applyBorder="1" applyAlignment="1">
      <alignment horizontal="left" vertical="center"/>
    </xf>
    <xf numFmtId="3" fontId="38" fillId="26" borderId="259" xfId="1" applyNumberFormat="1" applyFont="1" applyFill="1" applyBorder="1" applyAlignment="1">
      <alignment horizontal="left" vertical="center"/>
    </xf>
    <xf numFmtId="3" fontId="38" fillId="42" borderId="260" xfId="1" applyNumberFormat="1" applyFont="1" applyFill="1" applyBorder="1" applyAlignment="1">
      <alignment horizontal="left" vertical="center"/>
    </xf>
    <xf numFmtId="3" fontId="38" fillId="41" borderId="260" xfId="1" applyNumberFormat="1" applyFont="1" applyFill="1" applyBorder="1" applyAlignment="1">
      <alignment horizontal="left" vertical="center"/>
    </xf>
    <xf numFmtId="3" fontId="38" fillId="50" borderId="325" xfId="1" applyNumberFormat="1" applyFont="1" applyFill="1" applyBorder="1" applyAlignment="1">
      <alignment horizontal="left" vertical="center"/>
    </xf>
    <xf numFmtId="3" fontId="38" fillId="22" borderId="64" xfId="1" applyNumberFormat="1" applyFont="1" applyFill="1" applyBorder="1" applyAlignment="1">
      <alignment horizontal="left" vertical="center"/>
    </xf>
    <xf numFmtId="3" fontId="17" fillId="26" borderId="72" xfId="1" applyNumberFormat="1" applyFont="1" applyFill="1" applyBorder="1" applyAlignment="1">
      <alignment horizontal="left" vertical="center"/>
    </xf>
    <xf numFmtId="3" fontId="17" fillId="27" borderId="331" xfId="1" applyNumberFormat="1" applyFont="1" applyFill="1" applyBorder="1" applyAlignment="1">
      <alignment horizontal="left" vertical="center"/>
    </xf>
    <xf numFmtId="3" fontId="38" fillId="3" borderId="325" xfId="1" applyNumberFormat="1" applyFont="1" applyFill="1" applyBorder="1" applyAlignment="1">
      <alignment horizontal="left" vertical="center"/>
    </xf>
    <xf numFmtId="3" fontId="17" fillId="36" borderId="64" xfId="1" applyNumberFormat="1" applyFont="1" applyFill="1" applyBorder="1" applyAlignment="1">
      <alignment horizontal="left" vertical="center"/>
    </xf>
    <xf numFmtId="3" fontId="17" fillId="35" borderId="64" xfId="1" applyNumberFormat="1" applyFont="1" applyFill="1" applyBorder="1" applyAlignment="1">
      <alignment horizontal="left" vertical="center"/>
    </xf>
    <xf numFmtId="3" fontId="38" fillId="21" borderId="365" xfId="1" applyNumberFormat="1" applyFont="1" applyFill="1" applyBorder="1" applyAlignment="1">
      <alignment horizontal="left" vertical="center"/>
    </xf>
    <xf numFmtId="3" fontId="38" fillId="39" borderId="325" xfId="1" applyNumberFormat="1" applyFont="1" applyFill="1" applyBorder="1" applyAlignment="1">
      <alignment horizontal="left" vertical="center"/>
    </xf>
    <xf numFmtId="3" fontId="38" fillId="20" borderId="491" xfId="1" applyNumberFormat="1" applyFont="1" applyFill="1" applyBorder="1" applyAlignment="1">
      <alignment horizontal="left" vertical="center"/>
    </xf>
    <xf numFmtId="3" fontId="38" fillId="29" borderId="504" xfId="1" applyNumberFormat="1" applyFont="1" applyFill="1" applyBorder="1" applyAlignment="1">
      <alignment horizontal="left" vertical="center"/>
    </xf>
    <xf numFmtId="3" fontId="17" fillId="24" borderId="283" xfId="1" applyNumberFormat="1" applyFont="1" applyFill="1" applyBorder="1" applyAlignment="1">
      <alignment horizontal="left" vertical="center"/>
    </xf>
    <xf numFmtId="3" fontId="17" fillId="41" borderId="64" xfId="1" applyNumberFormat="1" applyFont="1" applyFill="1" applyBorder="1" applyAlignment="1">
      <alignment horizontal="left" vertical="center"/>
    </xf>
    <xf numFmtId="3" fontId="38" fillId="25" borderId="69" xfId="1" applyNumberFormat="1" applyFont="1" applyFill="1" applyBorder="1" applyAlignment="1">
      <alignment horizontal="left" vertical="center"/>
    </xf>
    <xf numFmtId="3" fontId="38" fillId="27" borderId="245" xfId="1" applyNumberFormat="1" applyFont="1" applyFill="1" applyBorder="1" applyAlignment="1">
      <alignment horizontal="left" vertical="center"/>
    </xf>
    <xf numFmtId="3" fontId="38" fillId="41" borderId="332" xfId="1" applyNumberFormat="1" applyFont="1" applyFill="1" applyBorder="1" applyAlignment="1">
      <alignment horizontal="left" vertical="center"/>
    </xf>
    <xf numFmtId="3" fontId="17" fillId="27" borderId="332" xfId="1" applyNumberFormat="1" applyFont="1" applyFill="1" applyBorder="1" applyAlignment="1">
      <alignment horizontal="left" vertical="center"/>
    </xf>
    <xf numFmtId="3" fontId="38" fillId="37" borderId="64" xfId="1" applyNumberFormat="1" applyFont="1" applyFill="1" applyBorder="1" applyAlignment="1">
      <alignment horizontal="left" vertical="center"/>
    </xf>
    <xf numFmtId="3" fontId="38" fillId="20" borderId="64" xfId="1" applyNumberFormat="1" applyFont="1" applyFill="1" applyBorder="1" applyAlignment="1">
      <alignment horizontal="left" vertical="center"/>
    </xf>
    <xf numFmtId="3" fontId="150" fillId="52" borderId="260" xfId="1" applyNumberFormat="1" applyFont="1" applyFill="1" applyBorder="1" applyAlignment="1">
      <alignment horizontal="center" vertical="center"/>
    </xf>
    <xf numFmtId="3" fontId="150" fillId="52" borderId="300" xfId="1" applyNumberFormat="1" applyFont="1" applyFill="1" applyBorder="1" applyAlignment="1">
      <alignment horizontal="center" vertical="center"/>
    </xf>
    <xf numFmtId="3" fontId="150" fillId="25" borderId="169" xfId="1" applyNumberFormat="1" applyFont="1" applyFill="1" applyBorder="1" applyAlignment="1">
      <alignment horizontal="center" vertical="center"/>
    </xf>
    <xf numFmtId="3" fontId="38" fillId="25" borderId="169" xfId="1" applyNumberFormat="1" applyFont="1" applyFill="1" applyBorder="1" applyAlignment="1">
      <alignment horizontal="center" vertical="center"/>
    </xf>
    <xf numFmtId="3" fontId="150" fillId="26" borderId="259" xfId="1" applyNumberFormat="1" applyFont="1" applyFill="1" applyBorder="1" applyAlignment="1">
      <alignment horizontal="center" vertical="center"/>
    </xf>
    <xf numFmtId="3" fontId="150" fillId="42" borderId="260" xfId="1" applyNumberFormat="1" applyFont="1" applyFill="1" applyBorder="1" applyAlignment="1">
      <alignment horizontal="center" vertical="center"/>
    </xf>
    <xf numFmtId="3" fontId="38" fillId="41" borderId="260" xfId="1" applyNumberFormat="1" applyFont="1" applyFill="1" applyBorder="1" applyAlignment="1">
      <alignment horizontal="center" vertical="center"/>
    </xf>
    <xf numFmtId="3" fontId="150" fillId="50" borderId="325" xfId="1" applyNumberFormat="1" applyFont="1" applyFill="1" applyBorder="1" applyAlignment="1">
      <alignment horizontal="center" vertical="center"/>
    </xf>
    <xf numFmtId="3" fontId="38" fillId="22" borderId="64" xfId="1" applyNumberFormat="1" applyFont="1" applyFill="1" applyBorder="1" applyAlignment="1">
      <alignment horizontal="center" vertical="center"/>
    </xf>
    <xf numFmtId="3" fontId="150" fillId="41" borderId="325" xfId="1" applyNumberFormat="1" applyFont="1" applyFill="1" applyBorder="1" applyAlignment="1">
      <alignment horizontal="center" vertical="center"/>
    </xf>
    <xf numFmtId="3" fontId="17" fillId="26" borderId="72" xfId="1" applyNumberFormat="1" applyFont="1" applyFill="1" applyBorder="1" applyAlignment="1">
      <alignment horizontal="center" vertical="center"/>
    </xf>
    <xf numFmtId="3" fontId="38" fillId="3" borderId="325" xfId="1" applyNumberFormat="1" applyFont="1" applyFill="1" applyBorder="1" applyAlignment="1">
      <alignment horizontal="center" vertical="center"/>
    </xf>
    <xf numFmtId="3" fontId="150" fillId="35" borderId="103" xfId="1" applyNumberFormat="1" applyFont="1" applyFill="1" applyBorder="1" applyAlignment="1">
      <alignment horizontal="center" vertical="center"/>
    </xf>
    <xf numFmtId="3" fontId="150" fillId="34" borderId="169" xfId="1" applyNumberFormat="1" applyFont="1" applyFill="1" applyBorder="1" applyAlignment="1">
      <alignment horizontal="center" vertical="center"/>
    </xf>
    <xf numFmtId="3" fontId="38" fillId="21" borderId="365" xfId="1" applyNumberFormat="1" applyFont="1" applyFill="1" applyBorder="1" applyAlignment="1">
      <alignment horizontal="center" vertical="center"/>
    </xf>
    <xf numFmtId="3" fontId="38" fillId="39" borderId="325" xfId="1" applyNumberFormat="1" applyFont="1" applyFill="1" applyBorder="1" applyAlignment="1">
      <alignment horizontal="center" vertical="center"/>
    </xf>
    <xf numFmtId="3" fontId="38" fillId="20" borderId="491" xfId="1" applyNumberFormat="1" applyFont="1" applyFill="1" applyBorder="1" applyAlignment="1">
      <alignment horizontal="center" vertical="center"/>
    </xf>
    <xf numFmtId="3" fontId="17" fillId="29" borderId="428" xfId="1" applyNumberFormat="1" applyFont="1" applyFill="1" applyBorder="1" applyAlignment="1">
      <alignment horizontal="center" vertical="center"/>
    </xf>
    <xf numFmtId="3" fontId="150" fillId="28" borderId="426" xfId="1" applyNumberFormat="1" applyFont="1" applyFill="1" applyBorder="1" applyAlignment="1">
      <alignment horizontal="center" vertical="center"/>
    </xf>
    <xf numFmtId="3" fontId="150" fillId="29" borderId="514" xfId="1" applyNumberFormat="1" applyFont="1" applyFill="1" applyBorder="1" applyAlignment="1">
      <alignment horizontal="center" vertical="center"/>
    </xf>
    <xf numFmtId="3" fontId="17" fillId="4" borderId="75" xfId="1" applyNumberFormat="1" applyFont="1" applyFill="1" applyBorder="1" applyAlignment="1">
      <alignment horizontal="center" vertical="center"/>
    </xf>
    <xf numFmtId="3" fontId="150" fillId="24" borderId="252" xfId="1" applyNumberFormat="1" applyFont="1" applyFill="1" applyBorder="1" applyAlignment="1">
      <alignment horizontal="center" vertical="center"/>
    </xf>
    <xf numFmtId="3" fontId="150" fillId="25" borderId="283" xfId="1" applyNumberFormat="1" applyFont="1" applyFill="1" applyBorder="1" applyAlignment="1">
      <alignment horizontal="center" vertical="center"/>
    </xf>
    <xf numFmtId="3" fontId="150" fillId="42" borderId="332" xfId="1" applyNumberFormat="1" applyFont="1" applyFill="1" applyBorder="1" applyAlignment="1">
      <alignment horizontal="center" vertical="center"/>
    </xf>
    <xf numFmtId="3" fontId="38" fillId="25" borderId="69" xfId="1" applyNumberFormat="1" applyFont="1" applyFill="1" applyBorder="1" applyAlignment="1">
      <alignment horizontal="center" vertical="center"/>
    </xf>
    <xf numFmtId="3" fontId="38" fillId="27" borderId="245" xfId="1" applyNumberFormat="1" applyFont="1" applyFill="1" applyBorder="1" applyAlignment="1">
      <alignment horizontal="center" vertical="center"/>
    </xf>
    <xf numFmtId="3" fontId="38" fillId="26" borderId="245" xfId="1" applyNumberFormat="1" applyFont="1" applyFill="1" applyBorder="1" applyAlignment="1">
      <alignment horizontal="center" vertical="center"/>
    </xf>
    <xf numFmtId="3" fontId="38" fillId="41" borderId="332" xfId="1" applyNumberFormat="1" applyFont="1" applyFill="1" applyBorder="1" applyAlignment="1">
      <alignment horizontal="center" vertical="center"/>
    </xf>
    <xf numFmtId="3" fontId="38" fillId="37" borderId="64" xfId="1" applyNumberFormat="1" applyFont="1" applyFill="1" applyBorder="1" applyAlignment="1">
      <alignment horizontal="center" vertical="center"/>
    </xf>
    <xf numFmtId="3" fontId="120" fillId="35" borderId="245" xfId="1" applyNumberFormat="1" applyFont="1" applyFill="1" applyBorder="1" applyAlignment="1">
      <alignment horizontal="center" vertical="center"/>
    </xf>
    <xf numFmtId="3" fontId="38" fillId="20" borderId="64" xfId="1" applyNumberFormat="1" applyFont="1" applyFill="1" applyBorder="1" applyAlignment="1">
      <alignment horizontal="center" vertical="center"/>
    </xf>
    <xf numFmtId="3" fontId="150" fillId="34" borderId="417" xfId="1" applyNumberFormat="1" applyFont="1" applyFill="1" applyBorder="1" applyAlignment="1">
      <alignment horizontal="center" vertical="center"/>
    </xf>
    <xf numFmtId="3" fontId="38" fillId="24" borderId="517" xfId="1" applyNumberFormat="1" applyFont="1" applyFill="1" applyBorder="1" applyAlignment="1">
      <alignment horizontal="center" vertical="center"/>
    </xf>
    <xf numFmtId="3" fontId="150" fillId="50" borderId="509" xfId="1" applyNumberFormat="1" applyFont="1" applyFill="1" applyBorder="1" applyAlignment="1">
      <alignment horizontal="center" vertical="center"/>
    </xf>
    <xf numFmtId="3" fontId="38" fillId="22" borderId="509" xfId="1" applyNumberFormat="1" applyFont="1" applyFill="1" applyBorder="1" applyAlignment="1">
      <alignment horizontal="center" vertical="center"/>
    </xf>
    <xf numFmtId="3" fontId="150" fillId="25" borderId="514" xfId="1" applyNumberFormat="1" applyFont="1" applyFill="1" applyBorder="1" applyAlignment="1">
      <alignment horizontal="center" vertical="center"/>
    </xf>
    <xf numFmtId="3" fontId="17" fillId="36" borderId="509" xfId="1" applyNumberFormat="1" applyFont="1" applyFill="1" applyBorder="1" applyAlignment="1">
      <alignment horizontal="center" vertical="center"/>
    </xf>
    <xf numFmtId="3" fontId="38" fillId="21" borderId="514" xfId="1" applyNumberFormat="1" applyFont="1" applyFill="1" applyBorder="1" applyAlignment="1">
      <alignment horizontal="center" vertical="center"/>
    </xf>
    <xf numFmtId="3" fontId="38" fillId="39" borderId="509" xfId="1" applyNumberFormat="1" applyFont="1" applyFill="1" applyBorder="1" applyAlignment="1">
      <alignment horizontal="center" vertical="center"/>
    </xf>
    <xf numFmtId="3" fontId="17" fillId="29" borderId="176" xfId="1" applyNumberFormat="1" applyFont="1" applyFill="1" applyBorder="1" applyAlignment="1">
      <alignment horizontal="center" vertical="center"/>
    </xf>
    <xf numFmtId="3" fontId="150" fillId="24" borderId="529" xfId="1" applyNumberFormat="1" applyFont="1" applyFill="1" applyBorder="1" applyAlignment="1">
      <alignment horizontal="center" vertical="center"/>
    </xf>
    <xf numFmtId="3" fontId="17" fillId="42" borderId="520" xfId="1" applyNumberFormat="1" applyFont="1" applyFill="1" applyBorder="1" applyAlignment="1">
      <alignment horizontal="center" vertical="center"/>
    </xf>
    <xf numFmtId="3" fontId="38" fillId="26" borderId="494" xfId="1" applyNumberFormat="1" applyFont="1" applyFill="1" applyBorder="1" applyAlignment="1">
      <alignment horizontal="center" vertical="center"/>
    </xf>
    <xf numFmtId="3" fontId="17" fillId="37" borderId="509" xfId="1" applyNumberFormat="1" applyFont="1" applyFill="1" applyBorder="1" applyAlignment="1">
      <alignment horizontal="center" vertical="center"/>
    </xf>
    <xf numFmtId="3" fontId="38" fillId="20" borderId="509" xfId="1" applyNumberFormat="1" applyFont="1" applyFill="1" applyBorder="1" applyAlignment="1">
      <alignment horizontal="center" vertical="center"/>
    </xf>
    <xf numFmtId="0" fontId="17" fillId="4" borderId="261" xfId="1" applyFont="1" applyFill="1" applyBorder="1" applyAlignment="1">
      <alignment horizontal="center" vertical="center"/>
    </xf>
    <xf numFmtId="0" fontId="17" fillId="52" borderId="260" xfId="1" applyFont="1" applyFill="1" applyBorder="1" applyAlignment="1">
      <alignment horizontal="center" vertical="center"/>
    </xf>
    <xf numFmtId="0" fontId="150" fillId="52" borderId="300" xfId="1" applyFont="1" applyFill="1" applyBorder="1" applyAlignment="1">
      <alignment horizontal="center" vertical="center"/>
    </xf>
    <xf numFmtId="0" fontId="150" fillId="24" borderId="316" xfId="1" applyFont="1" applyFill="1" applyBorder="1" applyAlignment="1">
      <alignment horizontal="center" vertical="center"/>
    </xf>
    <xf numFmtId="0" fontId="150" fillId="26" borderId="259" xfId="1" applyFont="1" applyFill="1" applyBorder="1" applyAlignment="1">
      <alignment horizontal="center" vertical="center"/>
    </xf>
    <xf numFmtId="0" fontId="17" fillId="42" borderId="260" xfId="1" applyFont="1" applyFill="1" applyBorder="1" applyAlignment="1">
      <alignment horizontal="center" vertical="center"/>
    </xf>
    <xf numFmtId="0" fontId="17" fillId="41" borderId="260" xfId="1" applyFont="1" applyFill="1" applyBorder="1" applyAlignment="1">
      <alignment horizontal="center" vertical="center"/>
    </xf>
    <xf numFmtId="0" fontId="150" fillId="50" borderId="325" xfId="1" applyFont="1" applyFill="1" applyBorder="1" applyAlignment="1">
      <alignment horizontal="center" vertical="center"/>
    </xf>
    <xf numFmtId="0" fontId="17" fillId="22" borderId="64" xfId="1" applyFont="1" applyFill="1" applyBorder="1" applyAlignment="1">
      <alignment horizontal="center" vertical="center"/>
    </xf>
    <xf numFmtId="0" fontId="150" fillId="27" borderId="72" xfId="1" applyFont="1" applyFill="1" applyBorder="1" applyAlignment="1">
      <alignment horizontal="center" vertical="center"/>
    </xf>
    <xf numFmtId="0" fontId="150" fillId="41" borderId="325" xfId="1" applyFont="1" applyFill="1" applyBorder="1" applyAlignment="1">
      <alignment horizontal="center" vertical="center"/>
    </xf>
    <xf numFmtId="0" fontId="150" fillId="24" borderId="169" xfId="1" applyFont="1" applyFill="1" applyBorder="1" applyAlignment="1">
      <alignment horizontal="center" vertical="center"/>
    </xf>
    <xf numFmtId="0" fontId="17" fillId="3" borderId="325" xfId="1" applyFont="1" applyFill="1" applyBorder="1" applyAlignment="1">
      <alignment horizontal="center" vertical="center"/>
    </xf>
    <xf numFmtId="0" fontId="17" fillId="36" borderId="64" xfId="1" applyFont="1" applyFill="1" applyBorder="1" applyAlignment="1">
      <alignment horizontal="center" vertical="center"/>
    </xf>
    <xf numFmtId="0" fontId="150" fillId="34" borderId="169" xfId="1" applyFont="1" applyFill="1" applyBorder="1" applyAlignment="1">
      <alignment horizontal="center" vertical="center"/>
    </xf>
    <xf numFmtId="0" fontId="17" fillId="21" borderId="365" xfId="1" applyFont="1" applyFill="1" applyBorder="1" applyAlignment="1">
      <alignment horizontal="center" vertical="center"/>
    </xf>
    <xf numFmtId="0" fontId="17" fillId="39" borderId="325" xfId="1" applyFont="1" applyFill="1" applyBorder="1" applyAlignment="1">
      <alignment horizontal="center" vertical="center"/>
    </xf>
    <xf numFmtId="0" fontId="17" fillId="20" borderId="491" xfId="1" applyFont="1" applyFill="1" applyBorder="1" applyAlignment="1">
      <alignment horizontal="center" vertical="center"/>
    </xf>
    <xf numFmtId="0" fontId="17" fillId="29" borderId="428" xfId="1" applyFont="1" applyFill="1" applyBorder="1" applyAlignment="1">
      <alignment horizontal="center" vertical="center"/>
    </xf>
    <xf numFmtId="0" fontId="150" fillId="28" borderId="426" xfId="1" applyFont="1" applyFill="1" applyBorder="1" applyAlignment="1">
      <alignment horizontal="center" vertical="center"/>
    </xf>
    <xf numFmtId="0" fontId="150" fillId="24" borderId="245" xfId="1" applyFont="1" applyFill="1" applyBorder="1" applyAlignment="1">
      <alignment horizontal="center" vertical="center"/>
    </xf>
    <xf numFmtId="0" fontId="150" fillId="25" borderId="283" xfId="1" applyFont="1" applyFill="1" applyBorder="1" applyAlignment="1">
      <alignment horizontal="center" vertical="center"/>
    </xf>
    <xf numFmtId="0" fontId="150" fillId="42" borderId="332" xfId="1" applyFont="1" applyFill="1" applyBorder="1" applyAlignment="1">
      <alignment horizontal="center" vertical="center"/>
    </xf>
    <xf numFmtId="0" fontId="17" fillId="25" borderId="69" xfId="1" applyFont="1" applyFill="1" applyBorder="1" applyAlignment="1">
      <alignment horizontal="center" vertical="center"/>
    </xf>
    <xf numFmtId="0" fontId="150" fillId="24" borderId="24" xfId="1" applyFont="1" applyFill="1" applyBorder="1" applyAlignment="1">
      <alignment horizontal="center" vertical="center"/>
    </xf>
    <xf numFmtId="0" fontId="17" fillId="27" borderId="245" xfId="1" applyFont="1" applyFill="1" applyBorder="1" applyAlignment="1">
      <alignment horizontal="center" vertical="center"/>
    </xf>
    <xf numFmtId="0" fontId="17" fillId="26" borderId="245" xfId="1" applyFont="1" applyFill="1" applyBorder="1" applyAlignment="1">
      <alignment horizontal="center" vertical="center"/>
    </xf>
    <xf numFmtId="0" fontId="17" fillId="41" borderId="332" xfId="1" applyFont="1" applyFill="1" applyBorder="1" applyAlignment="1">
      <alignment horizontal="center" vertical="center"/>
    </xf>
    <xf numFmtId="0" fontId="150" fillId="26" borderId="325" xfId="1" applyFont="1" applyFill="1" applyBorder="1" applyAlignment="1">
      <alignment horizontal="center" vertical="center"/>
    </xf>
    <xf numFmtId="0" fontId="17" fillId="37" borderId="64" xfId="1" applyFont="1" applyFill="1" applyBorder="1" applyAlignment="1">
      <alignment horizontal="center" vertical="center"/>
    </xf>
    <xf numFmtId="0" fontId="120" fillId="35" borderId="245" xfId="1" applyFont="1" applyFill="1" applyBorder="1" applyAlignment="1">
      <alignment horizontal="center" vertical="center"/>
    </xf>
    <xf numFmtId="0" fontId="17" fillId="20" borderId="64" xfId="1" applyFont="1" applyFill="1" applyBorder="1" applyAlignment="1">
      <alignment horizontal="center" vertical="center"/>
    </xf>
    <xf numFmtId="172" fontId="17" fillId="4" borderId="261" xfId="1" applyNumberFormat="1" applyFont="1" applyFill="1" applyBorder="1" applyAlignment="1">
      <alignment horizontal="center" vertical="center"/>
    </xf>
    <xf numFmtId="172" fontId="38" fillId="52" borderId="260" xfId="1" applyNumberFormat="1" applyFont="1" applyFill="1" applyBorder="1" applyAlignment="1">
      <alignment horizontal="center" vertical="center"/>
    </xf>
    <xf numFmtId="172" fontId="38" fillId="52" borderId="300" xfId="1" applyNumberFormat="1" applyFont="1" applyFill="1" applyBorder="1" applyAlignment="1">
      <alignment horizontal="center" vertical="center"/>
    </xf>
    <xf numFmtId="172" fontId="17" fillId="26" borderId="259" xfId="1" applyNumberFormat="1" applyFont="1" applyFill="1" applyBorder="1" applyAlignment="1">
      <alignment horizontal="center" vertical="center"/>
    </xf>
    <xf numFmtId="172" fontId="17" fillId="42" borderId="260" xfId="1" applyNumberFormat="1" applyFont="1" applyFill="1" applyBorder="1" applyAlignment="1">
      <alignment horizontal="center" vertical="center"/>
    </xf>
    <xf numFmtId="172" fontId="17" fillId="41" borderId="260" xfId="1" applyNumberFormat="1" applyFont="1" applyFill="1" applyBorder="1" applyAlignment="1">
      <alignment horizontal="center" vertical="center"/>
    </xf>
    <xf numFmtId="172" fontId="38" fillId="50" borderId="325" xfId="1" applyNumberFormat="1" applyFont="1" applyFill="1" applyBorder="1" applyAlignment="1">
      <alignment horizontal="center" vertical="center"/>
    </xf>
    <xf numFmtId="172" fontId="38" fillId="22" borderId="64" xfId="1" applyNumberFormat="1" applyFont="1" applyFill="1" applyBorder="1" applyAlignment="1">
      <alignment horizontal="center" vertical="center"/>
    </xf>
    <xf numFmtId="172" fontId="17" fillId="41" borderId="64" xfId="1" applyNumberFormat="1" applyFont="1" applyFill="1" applyBorder="1" applyAlignment="1">
      <alignment horizontal="center" vertical="center"/>
    </xf>
    <xf numFmtId="172" fontId="33" fillId="3" borderId="325" xfId="1" applyNumberFormat="1" applyFont="1" applyFill="1" applyBorder="1" applyAlignment="1">
      <alignment horizontal="center" vertical="center"/>
    </xf>
    <xf numFmtId="172" fontId="17" fillId="36" borderId="64" xfId="1" applyNumberFormat="1" applyFont="1" applyFill="1" applyBorder="1" applyAlignment="1">
      <alignment horizontal="center" vertical="center"/>
    </xf>
    <xf numFmtId="172" fontId="17" fillId="34" borderId="55" xfId="1" applyNumberFormat="1" applyFont="1" applyFill="1" applyBorder="1" applyAlignment="1">
      <alignment horizontal="center" vertical="center"/>
    </xf>
    <xf numFmtId="172" fontId="17" fillId="34" borderId="169" xfId="1" applyNumberFormat="1" applyFont="1" applyFill="1" applyBorder="1" applyAlignment="1">
      <alignment horizontal="center" vertical="center"/>
    </xf>
    <xf numFmtId="172" fontId="33" fillId="21" borderId="365" xfId="1" applyNumberFormat="1" applyFont="1" applyFill="1" applyBorder="1" applyAlignment="1">
      <alignment horizontal="center" vertical="center"/>
    </xf>
    <xf numFmtId="172" fontId="38" fillId="39" borderId="325" xfId="1" applyNumberFormat="1" applyFont="1" applyFill="1" applyBorder="1" applyAlignment="1">
      <alignment horizontal="center" vertical="center"/>
    </xf>
    <xf numFmtId="172" fontId="17" fillId="34" borderId="365" xfId="1" applyNumberFormat="1" applyFont="1" applyFill="1" applyBorder="1" applyAlignment="1">
      <alignment horizontal="center" vertical="center"/>
    </xf>
    <xf numFmtId="172" fontId="33" fillId="20" borderId="491" xfId="1" applyNumberFormat="1" applyFont="1" applyFill="1" applyBorder="1" applyAlignment="1">
      <alignment horizontal="center" vertical="center"/>
    </xf>
    <xf numFmtId="172" fontId="38" fillId="29" borderId="428" xfId="1" applyNumberFormat="1" applyFont="1" applyFill="1" applyBorder="1" applyAlignment="1">
      <alignment horizontal="center" vertical="center"/>
    </xf>
    <xf numFmtId="172" fontId="38" fillId="25" borderId="69" xfId="1" applyNumberFormat="1" applyFont="1" applyFill="1" applyBorder="1" applyAlignment="1">
      <alignment horizontal="center" vertical="center"/>
    </xf>
    <xf numFmtId="172" fontId="38" fillId="26" borderId="24" xfId="1" applyNumberFormat="1" applyFont="1" applyFill="1" applyBorder="1" applyAlignment="1">
      <alignment horizontal="center" vertical="center"/>
    </xf>
    <xf numFmtId="172" fontId="38" fillId="27" borderId="245" xfId="1" applyNumberFormat="1" applyFont="1" applyFill="1" applyBorder="1" applyAlignment="1">
      <alignment horizontal="center" vertical="center"/>
    </xf>
    <xf numFmtId="172" fontId="38" fillId="26" borderId="245" xfId="1" applyNumberFormat="1" applyFont="1" applyFill="1" applyBorder="1" applyAlignment="1">
      <alignment horizontal="center" vertical="center"/>
    </xf>
    <xf numFmtId="172" fontId="17" fillId="27" borderId="332" xfId="1" applyNumberFormat="1" applyFont="1" applyFill="1" applyBorder="1" applyAlignment="1">
      <alignment horizontal="center" vertical="center"/>
    </xf>
    <xf numFmtId="172" fontId="38" fillId="41" borderId="332" xfId="1" applyNumberFormat="1" applyFont="1" applyFill="1" applyBorder="1" applyAlignment="1">
      <alignment horizontal="center" vertical="center"/>
    </xf>
    <xf numFmtId="172" fontId="17" fillId="26" borderId="325" xfId="1" applyNumberFormat="1" applyFont="1" applyFill="1" applyBorder="1" applyAlignment="1">
      <alignment horizontal="center" vertical="center"/>
    </xf>
    <xf numFmtId="172" fontId="17" fillId="26" borderId="64" xfId="1" applyNumberFormat="1" applyFont="1" applyFill="1" applyBorder="1" applyAlignment="1">
      <alignment horizontal="center" vertical="center"/>
    </xf>
    <xf numFmtId="172" fontId="38" fillId="37" borderId="64" xfId="1" applyNumberFormat="1" applyFont="1" applyFill="1" applyBorder="1" applyAlignment="1">
      <alignment horizontal="center" vertical="center"/>
    </xf>
    <xf numFmtId="172" fontId="33" fillId="20" borderId="64" xfId="1" applyNumberFormat="1" applyFont="1" applyFill="1" applyBorder="1" applyAlignment="1">
      <alignment horizontal="center" vertical="center"/>
    </xf>
    <xf numFmtId="14" fontId="38" fillId="52" borderId="260" xfId="1" applyNumberFormat="1" applyFont="1" applyFill="1" applyBorder="1" applyAlignment="1">
      <alignment horizontal="center" vertical="center"/>
    </xf>
    <xf numFmtId="14" fontId="38" fillId="52" borderId="300" xfId="1" applyNumberFormat="1" applyFont="1" applyFill="1" applyBorder="1" applyAlignment="1">
      <alignment horizontal="center" vertical="center"/>
    </xf>
    <xf numFmtId="14" fontId="17" fillId="24" borderId="331" xfId="1" applyNumberFormat="1" applyFont="1" applyFill="1" applyBorder="1" applyAlignment="1">
      <alignment horizontal="center" vertical="center"/>
    </xf>
    <xf numFmtId="14" fontId="38" fillId="26" borderId="259" xfId="1" applyNumberFormat="1" applyFont="1" applyFill="1" applyBorder="1" applyAlignment="1">
      <alignment horizontal="center" vertical="center"/>
    </xf>
    <xf numFmtId="14" fontId="38" fillId="42" borderId="260" xfId="1" applyNumberFormat="1" applyFont="1" applyFill="1" applyBorder="1" applyAlignment="1">
      <alignment horizontal="center" vertical="center"/>
    </xf>
    <xf numFmtId="14" fontId="38" fillId="41" borderId="260" xfId="1" applyNumberFormat="1" applyFont="1" applyFill="1" applyBorder="1" applyAlignment="1">
      <alignment horizontal="center" vertical="center"/>
    </xf>
    <xf numFmtId="14" fontId="38" fillId="50" borderId="325" xfId="1" applyNumberFormat="1" applyFont="1" applyFill="1" applyBorder="1" applyAlignment="1">
      <alignment horizontal="center" vertical="center"/>
    </xf>
    <xf numFmtId="14" fontId="38" fillId="22" borderId="64" xfId="1" applyNumberFormat="1" applyFont="1" applyFill="1" applyBorder="1" applyAlignment="1">
      <alignment horizontal="center" vertical="center"/>
    </xf>
    <xf numFmtId="14" fontId="38" fillId="3" borderId="325" xfId="1" applyNumberFormat="1" applyFont="1" applyFill="1" applyBorder="1" applyAlignment="1">
      <alignment horizontal="center" vertical="center"/>
    </xf>
    <xf numFmtId="14" fontId="38" fillId="35" borderId="72" xfId="1" quotePrefix="1" applyNumberFormat="1" applyFont="1" applyFill="1" applyBorder="1" applyAlignment="1">
      <alignment horizontal="center" vertical="center"/>
    </xf>
    <xf numFmtId="14" fontId="17" fillId="36" borderId="64" xfId="1" applyNumberFormat="1" applyFont="1" applyFill="1" applyBorder="1" applyAlignment="1">
      <alignment horizontal="center" vertical="center"/>
    </xf>
    <xf numFmtId="14" fontId="38" fillId="34" borderId="55" xfId="1" quotePrefix="1" applyNumberFormat="1" applyFont="1" applyFill="1" applyBorder="1" applyAlignment="1">
      <alignment horizontal="center" vertical="center"/>
    </xf>
    <xf numFmtId="14" fontId="17" fillId="35" borderId="64" xfId="1" applyNumberFormat="1" applyFont="1" applyFill="1" applyBorder="1" applyAlignment="1">
      <alignment horizontal="center" vertical="center"/>
    </xf>
    <xf numFmtId="14" fontId="38" fillId="21" borderId="365" xfId="1" applyNumberFormat="1" applyFont="1" applyFill="1" applyBorder="1" applyAlignment="1">
      <alignment horizontal="center" vertical="center"/>
    </xf>
    <xf numFmtId="14" fontId="38" fillId="39" borderId="325" xfId="1" applyNumberFormat="1" applyFont="1" applyFill="1" applyBorder="1" applyAlignment="1">
      <alignment horizontal="center" vertical="center"/>
    </xf>
    <xf numFmtId="14" fontId="38" fillId="20" borderId="491" xfId="1" applyNumberFormat="1" applyFont="1" applyFill="1" applyBorder="1" applyAlignment="1">
      <alignment horizontal="center" vertical="center"/>
    </xf>
    <xf numFmtId="14" fontId="38" fillId="29" borderId="428" xfId="1" quotePrefix="1" applyNumberFormat="1" applyFont="1" applyFill="1" applyBorder="1" applyAlignment="1">
      <alignment horizontal="center" vertical="center"/>
    </xf>
    <xf numFmtId="14" fontId="38" fillId="25" borderId="69" xfId="1" applyNumberFormat="1" applyFont="1" applyFill="1" applyBorder="1" applyAlignment="1">
      <alignment horizontal="center" vertical="center"/>
    </xf>
    <xf numFmtId="14" fontId="38" fillId="27" borderId="245" xfId="1" applyNumberFormat="1" applyFont="1" applyFill="1" applyBorder="1" applyAlignment="1">
      <alignment horizontal="center" vertical="center"/>
    </xf>
    <xf numFmtId="14" fontId="38" fillId="41" borderId="332" xfId="1" applyNumberFormat="1" applyFont="1" applyFill="1" applyBorder="1" applyAlignment="1">
      <alignment horizontal="center" vertical="center"/>
    </xf>
    <xf numFmtId="14" fontId="38" fillId="37" borderId="64" xfId="1" applyNumberFormat="1" applyFont="1" applyFill="1" applyBorder="1" applyAlignment="1">
      <alignment horizontal="center" vertical="center"/>
    </xf>
    <xf numFmtId="14" fontId="38" fillId="20" borderId="64" xfId="1" applyNumberFormat="1" applyFont="1" applyFill="1" applyBorder="1" applyAlignment="1">
      <alignment horizontal="center" vertical="center"/>
    </xf>
    <xf numFmtId="2" fontId="38" fillId="42" borderId="270" xfId="1" applyNumberFormat="1" applyFont="1" applyFill="1" applyBorder="1" applyAlignment="1">
      <alignment horizontal="center" vertical="center"/>
    </xf>
    <xf numFmtId="2" fontId="38" fillId="50" borderId="318" xfId="1" applyNumberFormat="1" applyFont="1" applyFill="1" applyBorder="1" applyAlignment="1">
      <alignment horizontal="center" vertical="center"/>
    </xf>
    <xf numFmtId="2" fontId="38" fillId="3" borderId="307" xfId="1" applyNumberFormat="1" applyFont="1" applyFill="1" applyBorder="1" applyAlignment="1">
      <alignment horizontal="center" vertical="center"/>
    </xf>
    <xf numFmtId="0" fontId="73" fillId="10" borderId="247" xfId="1" applyFont="1" applyFill="1" applyBorder="1" applyAlignment="1">
      <alignment horizontal="left" vertical="center"/>
    </xf>
    <xf numFmtId="0" fontId="115" fillId="10" borderId="0" xfId="1" applyFont="1" applyFill="1" applyBorder="1" applyAlignment="1">
      <alignment horizontal="left" vertical="center"/>
    </xf>
    <xf numFmtId="0" fontId="104" fillId="18" borderId="247" xfId="15" applyFont="1" applyFill="1" applyBorder="1" applyAlignment="1">
      <alignment horizontal="left" vertical="center"/>
    </xf>
    <xf numFmtId="0" fontId="59" fillId="11" borderId="498" xfId="1" applyFont="1" applyFill="1" applyBorder="1" applyAlignment="1">
      <alignment horizontal="center" vertical="center"/>
    </xf>
    <xf numFmtId="166" fontId="23" fillId="12" borderId="509" xfId="1" applyNumberFormat="1" applyFont="1" applyFill="1" applyBorder="1" applyAlignment="1">
      <alignment horizontal="center" vertical="center"/>
    </xf>
    <xf numFmtId="166" fontId="33" fillId="11" borderId="509" xfId="1" applyNumberFormat="1" applyFont="1" applyFill="1" applyBorder="1" applyAlignment="1">
      <alignment horizontal="center" vertical="center"/>
    </xf>
    <xf numFmtId="166" fontId="23" fillId="11" borderId="18" xfId="1" applyNumberFormat="1" applyFont="1" applyFill="1" applyBorder="1" applyAlignment="1">
      <alignment horizontal="center" vertical="center"/>
    </xf>
    <xf numFmtId="3" fontId="39" fillId="11" borderId="64" xfId="1" applyNumberFormat="1" applyFont="1" applyFill="1" applyBorder="1" applyAlignment="1">
      <alignment horizontal="center" vertical="center"/>
    </xf>
    <xf numFmtId="3" fontId="38" fillId="11" borderId="251" xfId="1" applyNumberFormat="1" applyFont="1" applyFill="1" applyBorder="1" applyAlignment="1">
      <alignment horizontal="center" vertical="center"/>
    </xf>
    <xf numFmtId="3" fontId="17" fillId="12" borderId="230" xfId="1" applyNumberFormat="1" applyFont="1" applyFill="1" applyBorder="1" applyAlignment="1">
      <alignment horizontal="center" vertical="center"/>
    </xf>
    <xf numFmtId="3" fontId="17" fillId="12" borderId="0" xfId="1" applyNumberFormat="1" applyFont="1" applyFill="1" applyBorder="1" applyAlignment="1">
      <alignment horizontal="center" vertical="center"/>
    </xf>
    <xf numFmtId="3" fontId="17" fillId="12" borderId="509" xfId="1" applyNumberFormat="1" applyFont="1" applyFill="1" applyBorder="1" applyAlignment="1">
      <alignment horizontal="left" vertical="center"/>
    </xf>
    <xf numFmtId="3" fontId="38" fillId="10" borderId="245" xfId="1" applyNumberFormat="1" applyFont="1" applyFill="1" applyBorder="1" applyAlignment="1">
      <alignment horizontal="left" vertical="center"/>
    </xf>
    <xf numFmtId="3" fontId="17" fillId="10" borderId="64" xfId="1" applyNumberFormat="1" applyFont="1" applyFill="1" applyBorder="1" applyAlignment="1">
      <alignment horizontal="left" vertical="center"/>
    </xf>
    <xf numFmtId="3" fontId="38" fillId="10" borderId="245" xfId="1" applyNumberFormat="1" applyFont="1" applyFill="1" applyBorder="1" applyAlignment="1">
      <alignment horizontal="center" vertical="center"/>
    </xf>
    <xf numFmtId="3" fontId="38" fillId="10" borderId="520" xfId="1" applyNumberFormat="1" applyFont="1" applyFill="1" applyBorder="1" applyAlignment="1">
      <alignment horizontal="center" vertical="center"/>
    </xf>
    <xf numFmtId="3" fontId="17" fillId="10" borderId="509" xfId="1" applyNumberFormat="1" applyFont="1" applyFill="1" applyBorder="1" applyAlignment="1">
      <alignment horizontal="center" vertical="center"/>
    </xf>
    <xf numFmtId="0" fontId="17" fillId="12" borderId="509" xfId="1" applyFont="1" applyFill="1" applyBorder="1" applyAlignment="1">
      <alignment horizontal="center" vertical="center"/>
    </xf>
    <xf numFmtId="0" fontId="150" fillId="11" borderId="169" xfId="1" applyFont="1" applyFill="1" applyBorder="1" applyAlignment="1">
      <alignment horizontal="center" vertical="center"/>
    </xf>
    <xf numFmtId="172" fontId="17" fillId="12" borderId="509" xfId="1" applyNumberFormat="1" applyFont="1" applyFill="1" applyBorder="1" applyAlignment="1">
      <alignment horizontal="center" vertical="center"/>
    </xf>
    <xf numFmtId="172" fontId="38" fillId="10" borderId="245" xfId="1" applyNumberFormat="1" applyFont="1" applyFill="1" applyBorder="1" applyAlignment="1">
      <alignment horizontal="center" vertical="center"/>
    </xf>
    <xf numFmtId="172" fontId="17" fillId="10" borderId="64" xfId="1" applyNumberFormat="1" applyFont="1" applyFill="1" applyBorder="1" applyAlignment="1">
      <alignment horizontal="center" vertical="center"/>
    </xf>
    <xf numFmtId="14" fontId="17" fillId="12" borderId="509" xfId="1" applyNumberFormat="1" applyFont="1" applyFill="1" applyBorder="1" applyAlignment="1">
      <alignment horizontal="center" vertical="center"/>
    </xf>
    <xf numFmtId="14" fontId="38" fillId="10" borderId="245" xfId="1" applyNumberFormat="1" applyFont="1" applyFill="1" applyBorder="1" applyAlignment="1">
      <alignment horizontal="center" vertical="center"/>
    </xf>
    <xf numFmtId="14" fontId="17" fillId="12" borderId="64" xfId="1" quotePrefix="1" applyNumberFormat="1" applyFont="1" applyFill="1" applyBorder="1" applyAlignment="1">
      <alignment horizontal="center" vertical="center"/>
    </xf>
    <xf numFmtId="14" fontId="17" fillId="10" borderId="64" xfId="1" applyNumberFormat="1" applyFont="1" applyFill="1" applyBorder="1" applyAlignment="1">
      <alignment horizontal="center" vertical="center"/>
    </xf>
    <xf numFmtId="14" fontId="38" fillId="10" borderId="245" xfId="1" quotePrefix="1" applyNumberFormat="1" applyFont="1" applyFill="1" applyBorder="1" applyAlignment="1">
      <alignment horizontal="center" vertical="center"/>
    </xf>
    <xf numFmtId="2" fontId="38" fillId="11" borderId="510" xfId="1" applyNumberFormat="1" applyFont="1" applyFill="1" applyBorder="1" applyAlignment="1">
      <alignment horizontal="center" vertical="center"/>
    </xf>
    <xf numFmtId="2" fontId="38" fillId="11" borderId="488" xfId="1" applyNumberFormat="1" applyFont="1" applyFill="1" applyBorder="1" applyAlignment="1">
      <alignment horizontal="center" vertical="center"/>
    </xf>
    <xf numFmtId="0" fontId="41" fillId="11" borderId="497" xfId="1" applyFont="1" applyFill="1" applyBorder="1" applyAlignment="1">
      <alignment horizontal="center" vertical="center"/>
    </xf>
    <xf numFmtId="3" fontId="150" fillId="10" borderId="245" xfId="1" applyNumberFormat="1" applyFont="1" applyFill="1" applyBorder="1" applyAlignment="1">
      <alignment horizontal="center" vertical="center"/>
    </xf>
    <xf numFmtId="172" fontId="33" fillId="10" borderId="245" xfId="1" applyNumberFormat="1" applyFont="1" applyFill="1" applyBorder="1" applyAlignment="1">
      <alignment horizontal="center" vertical="center"/>
    </xf>
    <xf numFmtId="0" fontId="41" fillId="11" borderId="18" xfId="1" applyFont="1" applyFill="1" applyBorder="1" applyAlignment="1">
      <alignment horizontal="center" vertical="center"/>
    </xf>
    <xf numFmtId="3" fontId="38" fillId="10" borderId="169" xfId="1" applyNumberFormat="1" applyFont="1" applyFill="1" applyBorder="1" applyAlignment="1">
      <alignment horizontal="left" vertical="center"/>
    </xf>
    <xf numFmtId="3" fontId="150" fillId="10" borderId="169" xfId="1" applyNumberFormat="1" applyFont="1" applyFill="1" applyBorder="1" applyAlignment="1">
      <alignment horizontal="center" vertical="center"/>
    </xf>
    <xf numFmtId="172" fontId="33" fillId="10" borderId="169" xfId="1" applyNumberFormat="1" applyFont="1" applyFill="1" applyBorder="1" applyAlignment="1">
      <alignment horizontal="center" vertical="center"/>
    </xf>
    <xf numFmtId="14" fontId="38" fillId="10" borderId="169" xfId="1" applyNumberFormat="1" applyFont="1" applyFill="1" applyBorder="1" applyAlignment="1">
      <alignment horizontal="center" vertical="center"/>
    </xf>
    <xf numFmtId="3" fontId="38" fillId="3" borderId="259" xfId="1" applyNumberFormat="1" applyFont="1" applyFill="1" applyBorder="1" applyAlignment="1">
      <alignment horizontal="left" vertical="center"/>
    </xf>
    <xf numFmtId="3" fontId="150" fillId="3" borderId="259" xfId="1" applyNumberFormat="1" applyFont="1" applyFill="1" applyBorder="1" applyAlignment="1">
      <alignment horizontal="center" vertical="center"/>
    </xf>
    <xf numFmtId="0" fontId="17" fillId="3" borderId="259" xfId="1" applyFont="1" applyFill="1" applyBorder="1" applyAlignment="1">
      <alignment horizontal="center" vertical="center"/>
    </xf>
    <xf numFmtId="172" fontId="33" fillId="3" borderId="259" xfId="1" applyNumberFormat="1" applyFont="1" applyFill="1" applyBorder="1" applyAlignment="1">
      <alignment horizontal="center" vertical="center"/>
    </xf>
    <xf numFmtId="14" fontId="38" fillId="3" borderId="259" xfId="1" applyNumberFormat="1" applyFont="1" applyFill="1" applyBorder="1" applyAlignment="1">
      <alignment horizontal="center" vertical="center"/>
    </xf>
    <xf numFmtId="2" fontId="38" fillId="3" borderId="262" xfId="1" applyNumberFormat="1" applyFont="1" applyFill="1" applyBorder="1" applyAlignment="1">
      <alignment horizontal="center" vertical="center"/>
    </xf>
    <xf numFmtId="0" fontId="150" fillId="3" borderId="24" xfId="1" applyFont="1" applyFill="1" applyBorder="1" applyAlignment="1">
      <alignment horizontal="center" vertical="center"/>
    </xf>
    <xf numFmtId="14" fontId="73" fillId="3" borderId="24" xfId="1" applyNumberFormat="1" applyFont="1" applyFill="1" applyBorder="1" applyAlignment="1">
      <alignment horizontal="center" vertical="center"/>
    </xf>
    <xf numFmtId="14" fontId="73" fillId="3" borderId="259" xfId="1" applyNumberFormat="1" applyFont="1" applyFill="1" applyBorder="1" applyAlignment="1">
      <alignment horizontal="center" vertical="center"/>
    </xf>
    <xf numFmtId="14" fontId="63" fillId="4" borderId="261" xfId="1" applyNumberFormat="1" applyFont="1" applyFill="1" applyBorder="1" applyAlignment="1">
      <alignment horizontal="center" vertical="center"/>
    </xf>
    <xf numFmtId="14" fontId="73" fillId="52" borderId="260" xfId="1" applyNumberFormat="1" applyFont="1" applyFill="1" applyBorder="1" applyAlignment="1">
      <alignment horizontal="center" vertical="center"/>
    </xf>
    <xf numFmtId="14" fontId="73" fillId="4" borderId="261" xfId="1" applyNumberFormat="1" applyFont="1" applyFill="1" applyBorder="1" applyAlignment="1">
      <alignment horizontal="center" vertical="center"/>
    </xf>
    <xf numFmtId="14" fontId="73" fillId="4" borderId="64" xfId="1" applyNumberFormat="1" applyFont="1" applyFill="1" applyBorder="1" applyAlignment="1">
      <alignment horizontal="center" vertical="center"/>
    </xf>
    <xf numFmtId="14" fontId="73" fillId="4" borderId="275" xfId="1" applyNumberFormat="1" applyFont="1" applyFill="1" applyBorder="1" applyAlignment="1">
      <alignment horizontal="center" vertical="center"/>
    </xf>
    <xf numFmtId="14" fontId="73" fillId="4" borderId="301" xfId="1" applyNumberFormat="1" applyFont="1" applyFill="1" applyBorder="1" applyAlignment="1">
      <alignment horizontal="center" vertical="center"/>
    </xf>
    <xf numFmtId="14" fontId="73" fillId="4" borderId="311" xfId="1" applyNumberFormat="1" applyFont="1" applyFill="1" applyBorder="1" applyAlignment="1">
      <alignment horizontal="center" vertical="center"/>
    </xf>
    <xf numFmtId="14" fontId="73" fillId="52" borderId="317" xfId="1" applyNumberFormat="1" applyFont="1" applyFill="1" applyBorder="1" applyAlignment="1">
      <alignment horizontal="center" vertical="center"/>
    </xf>
    <xf numFmtId="14" fontId="73" fillId="4" borderId="317" xfId="1" applyNumberFormat="1" applyFont="1" applyFill="1" applyBorder="1" applyAlignment="1">
      <alignment horizontal="center" vertical="center"/>
    </xf>
    <xf numFmtId="14" fontId="73" fillId="52" borderId="301" xfId="1" applyNumberFormat="1" applyFont="1" applyFill="1" applyBorder="1" applyAlignment="1">
      <alignment horizontal="center" vertical="center"/>
    </xf>
    <xf numFmtId="14" fontId="73" fillId="4" borderId="325" xfId="1" applyNumberFormat="1" applyFont="1" applyFill="1" applyBorder="1" applyAlignment="1">
      <alignment horizontal="center" vertical="center"/>
    </xf>
    <xf numFmtId="14" fontId="63" fillId="52" borderId="64" xfId="1" applyNumberFormat="1" applyFont="1" applyFill="1" applyBorder="1" applyAlignment="1">
      <alignment horizontal="center" vertical="center"/>
    </xf>
    <xf numFmtId="14" fontId="73" fillId="4" borderId="76" xfId="1" applyNumberFormat="1" applyFont="1" applyFill="1" applyBorder="1" applyAlignment="1">
      <alignment horizontal="center" vertical="center"/>
    </xf>
    <xf numFmtId="14" fontId="73" fillId="4" borderId="72" xfId="1" applyNumberFormat="1" applyFont="1" applyFill="1" applyBorder="1" applyAlignment="1">
      <alignment horizontal="center" vertical="center"/>
    </xf>
    <xf numFmtId="14" fontId="73" fillId="4" borderId="24" xfId="1" applyNumberFormat="1" applyFont="1" applyFill="1" applyBorder="1" applyAlignment="1">
      <alignment horizontal="center" vertical="center"/>
    </xf>
    <xf numFmtId="14" fontId="73" fillId="42" borderId="64" xfId="1" applyNumberFormat="1" applyFont="1" applyFill="1" applyBorder="1" applyAlignment="1">
      <alignment horizontal="center" vertical="center"/>
    </xf>
    <xf numFmtId="14" fontId="73" fillId="25" borderId="64" xfId="1" applyNumberFormat="1" applyFont="1" applyFill="1" applyBorder="1" applyAlignment="1">
      <alignment horizontal="center" vertical="center"/>
    </xf>
    <xf numFmtId="14" fontId="73" fillId="3" borderId="245" xfId="1" applyNumberFormat="1" applyFont="1" applyFill="1" applyBorder="1" applyAlignment="1">
      <alignment horizontal="center" vertical="center"/>
    </xf>
    <xf numFmtId="14" fontId="73" fillId="25" borderId="169" xfId="1" applyNumberFormat="1" applyFont="1" applyFill="1" applyBorder="1" applyAlignment="1">
      <alignment horizontal="center" vertical="center"/>
    </xf>
    <xf numFmtId="14" fontId="73" fillId="24" borderId="64" xfId="1" applyNumberFormat="1" applyFont="1" applyFill="1" applyBorder="1" applyAlignment="1">
      <alignment horizontal="center" vertical="center"/>
    </xf>
    <xf numFmtId="14" fontId="63" fillId="24" borderId="331" xfId="1" applyNumberFormat="1" applyFont="1" applyFill="1" applyBorder="1" applyAlignment="1">
      <alignment horizontal="center" vertical="center"/>
    </xf>
    <xf numFmtId="14" fontId="63" fillId="24" borderId="64" xfId="1" applyNumberFormat="1" applyFont="1" applyFill="1" applyBorder="1" applyAlignment="1">
      <alignment horizontal="center" vertical="center"/>
    </xf>
    <xf numFmtId="14" fontId="73" fillId="24" borderId="169" xfId="1" applyNumberFormat="1" applyFont="1" applyFill="1" applyBorder="1" applyAlignment="1">
      <alignment horizontal="center" vertical="center"/>
    </xf>
    <xf numFmtId="14" fontId="73" fillId="25" borderId="245" xfId="1" applyNumberFormat="1" applyFont="1" applyFill="1" applyBorder="1" applyAlignment="1">
      <alignment horizontal="center" vertical="center"/>
    </xf>
    <xf numFmtId="14" fontId="73" fillId="24" borderId="316" xfId="1" applyNumberFormat="1" applyFont="1" applyFill="1" applyBorder="1" applyAlignment="1">
      <alignment horizontal="center" vertical="center"/>
    </xf>
    <xf numFmtId="14" fontId="73" fillId="24" borderId="332" xfId="1" applyNumberFormat="1" applyFont="1" applyFill="1" applyBorder="1" applyAlignment="1">
      <alignment horizontal="center" vertical="center"/>
    </xf>
    <xf numFmtId="14" fontId="73" fillId="25" borderId="331" xfId="1" applyNumberFormat="1" applyFont="1" applyFill="1" applyBorder="1" applyAlignment="1">
      <alignment horizontal="center" vertical="center"/>
    </xf>
    <xf numFmtId="14" fontId="63" fillId="24" borderId="259" xfId="15" applyNumberFormat="1" applyFont="1" applyFill="1" applyBorder="1" applyAlignment="1">
      <alignment horizontal="center" vertical="center"/>
    </xf>
    <xf numFmtId="14" fontId="63" fillId="24" borderId="259" xfId="1" applyNumberFormat="1" applyFont="1" applyFill="1" applyBorder="1" applyAlignment="1">
      <alignment horizontal="center" vertical="center"/>
    </xf>
    <xf numFmtId="14" fontId="73" fillId="24" borderId="283" xfId="1" applyNumberFormat="1" applyFont="1" applyFill="1" applyBorder="1" applyAlignment="1">
      <alignment horizontal="center" vertical="center"/>
    </xf>
    <xf numFmtId="14" fontId="73" fillId="26" borderId="259" xfId="1" applyNumberFormat="1" applyFont="1" applyFill="1" applyBorder="1" applyAlignment="1">
      <alignment horizontal="center" vertical="center"/>
    </xf>
    <xf numFmtId="14" fontId="73" fillId="42" borderId="260" xfId="1" applyNumberFormat="1" applyFont="1" applyFill="1" applyBorder="1" applyAlignment="1">
      <alignment horizontal="center" vertical="center"/>
    </xf>
    <xf numFmtId="14" fontId="73" fillId="24" borderId="259" xfId="1" applyNumberFormat="1" applyFont="1" applyFill="1" applyBorder="1" applyAlignment="1">
      <alignment horizontal="center" vertical="center"/>
    </xf>
    <xf numFmtId="14" fontId="73" fillId="27" borderId="64" xfId="1" applyNumberFormat="1" applyFont="1" applyFill="1" applyBorder="1" applyAlignment="1">
      <alignment horizontal="center" vertical="center"/>
    </xf>
    <xf numFmtId="14" fontId="73" fillId="24" borderId="245" xfId="1" applyNumberFormat="1" applyFont="1" applyFill="1" applyBorder="1" applyAlignment="1">
      <alignment horizontal="center" vertical="center"/>
    </xf>
    <xf numFmtId="14" fontId="73" fillId="41" borderId="260" xfId="1" applyNumberFormat="1" applyFont="1" applyFill="1" applyBorder="1" applyAlignment="1">
      <alignment horizontal="center" vertical="center"/>
    </xf>
    <xf numFmtId="14" fontId="73" fillId="25" borderId="283" xfId="1" applyNumberFormat="1" applyFont="1" applyFill="1" applyBorder="1" applyAlignment="1">
      <alignment horizontal="center" vertical="center"/>
    </xf>
    <xf numFmtId="14" fontId="73" fillId="24" borderId="325" xfId="1" applyNumberFormat="1" applyFont="1" applyFill="1" applyBorder="1" applyAlignment="1">
      <alignment horizontal="center" vertical="center"/>
    </xf>
    <xf numFmtId="14" fontId="73" fillId="42" borderId="332" xfId="1" applyNumberFormat="1" applyFont="1" applyFill="1" applyBorder="1" applyAlignment="1">
      <alignment horizontal="center" vertical="center"/>
    </xf>
    <xf numFmtId="14" fontId="73" fillId="24" borderId="331" xfId="1" applyNumberFormat="1" applyFont="1" applyFill="1" applyBorder="1" applyAlignment="1">
      <alignment horizontal="center" vertical="center"/>
    </xf>
    <xf numFmtId="14" fontId="73" fillId="25" borderId="325" xfId="1" applyNumberFormat="1" applyFont="1" applyFill="1" applyBorder="1" applyAlignment="1">
      <alignment horizontal="center" vertical="center"/>
    </xf>
    <xf numFmtId="14" fontId="73" fillId="26" borderId="332" xfId="1" applyNumberFormat="1" applyFont="1" applyFill="1" applyBorder="1" applyAlignment="1">
      <alignment horizontal="center" vertical="center"/>
    </xf>
    <xf numFmtId="14" fontId="73" fillId="27" borderId="331" xfId="1" applyNumberFormat="1" applyFont="1" applyFill="1" applyBorder="1" applyAlignment="1">
      <alignment horizontal="center" vertical="center"/>
    </xf>
    <xf numFmtId="14" fontId="73" fillId="27" borderId="72" xfId="1" applyNumberFormat="1" applyFont="1" applyFill="1" applyBorder="1" applyAlignment="1">
      <alignment horizontal="center" vertical="center"/>
    </xf>
    <xf numFmtId="14" fontId="73" fillId="24" borderId="72" xfId="1" applyNumberFormat="1" applyFont="1" applyFill="1" applyBorder="1" applyAlignment="1">
      <alignment horizontal="center" vertical="center"/>
    </xf>
    <xf numFmtId="14" fontId="73" fillId="25" borderId="72" xfId="1" applyNumberFormat="1" applyFont="1" applyFill="1" applyBorder="1" applyAlignment="1">
      <alignment horizontal="center" vertical="center"/>
    </xf>
    <xf numFmtId="14" fontId="73" fillId="24" borderId="24" xfId="1" applyNumberFormat="1" applyFont="1" applyFill="1" applyBorder="1" applyAlignment="1">
      <alignment horizontal="center" vertical="center"/>
    </xf>
    <xf numFmtId="14" fontId="73" fillId="22" borderId="64" xfId="1" applyNumberFormat="1" applyFont="1" applyFill="1" applyBorder="1" applyAlignment="1">
      <alignment horizontal="center" vertical="center"/>
    </xf>
    <xf numFmtId="14" fontId="73" fillId="41" borderId="64" xfId="1" applyNumberFormat="1" applyFont="1" applyFill="1" applyBorder="1" applyAlignment="1">
      <alignment horizontal="center" vertical="center"/>
    </xf>
    <xf numFmtId="14" fontId="73" fillId="25" borderId="69" xfId="1" applyNumberFormat="1" applyFont="1" applyFill="1" applyBorder="1" applyAlignment="1">
      <alignment horizontal="center" vertical="center"/>
    </xf>
    <xf numFmtId="14" fontId="73" fillId="26" borderId="331" xfId="1" applyNumberFormat="1" applyFont="1" applyFill="1" applyBorder="1" applyAlignment="1">
      <alignment horizontal="center" vertical="center"/>
    </xf>
    <xf numFmtId="14" fontId="73" fillId="3" borderId="325" xfId="1" applyNumberFormat="1" applyFont="1" applyFill="1" applyBorder="1" applyAlignment="1">
      <alignment horizontal="center" vertical="center"/>
    </xf>
    <xf numFmtId="14" fontId="73" fillId="41" borderId="325" xfId="1" applyNumberFormat="1" applyFont="1" applyFill="1" applyBorder="1" applyAlignment="1">
      <alignment horizontal="center" vertical="center"/>
    </xf>
    <xf numFmtId="14" fontId="73" fillId="25" borderId="332" xfId="1" applyNumberFormat="1" applyFont="1" applyFill="1" applyBorder="1" applyAlignment="1">
      <alignment horizontal="center" vertical="center"/>
    </xf>
    <xf numFmtId="14" fontId="73" fillId="26" borderId="72" xfId="1" applyNumberFormat="1" applyFont="1" applyFill="1" applyBorder="1" applyAlignment="1">
      <alignment horizontal="center" vertical="center"/>
    </xf>
    <xf numFmtId="14" fontId="73" fillId="41" borderId="72" xfId="1" applyNumberFormat="1" applyFont="1" applyFill="1" applyBorder="1" applyAlignment="1">
      <alignment horizontal="center" vertical="center"/>
    </xf>
    <xf numFmtId="14" fontId="73" fillId="25" borderId="24" xfId="1" applyNumberFormat="1" applyFont="1" applyFill="1" applyBorder="1" applyAlignment="1">
      <alignment horizontal="center" vertical="center"/>
    </xf>
    <xf numFmtId="14" fontId="73" fillId="26" borderId="64" xfId="1" applyNumberFormat="1" applyFont="1" applyFill="1" applyBorder="1" applyAlignment="1">
      <alignment horizontal="center" vertical="center"/>
    </xf>
    <xf numFmtId="14" fontId="73" fillId="26" borderId="24" xfId="1" applyNumberFormat="1" applyFont="1" applyFill="1" applyBorder="1" applyAlignment="1">
      <alignment horizontal="center" vertical="center"/>
    </xf>
    <xf numFmtId="14" fontId="73" fillId="41" borderId="24" xfId="1" applyNumberFormat="1" applyFont="1" applyFill="1" applyBorder="1" applyAlignment="1">
      <alignment horizontal="center" vertical="center"/>
    </xf>
    <xf numFmtId="14" fontId="73" fillId="24" borderId="332" xfId="1" quotePrefix="1" applyNumberFormat="1" applyFont="1" applyFill="1" applyBorder="1" applyAlignment="1">
      <alignment horizontal="center" vertical="center"/>
    </xf>
    <xf numFmtId="14" fontId="73" fillId="42" borderId="325" xfId="1" applyNumberFormat="1" applyFont="1" applyFill="1" applyBorder="1" applyAlignment="1">
      <alignment horizontal="center" vertical="center"/>
    </xf>
    <xf numFmtId="14" fontId="73" fillId="27" borderId="325" xfId="1" applyNumberFormat="1" applyFont="1" applyFill="1" applyBorder="1" applyAlignment="1">
      <alignment horizontal="center" vertical="center"/>
    </xf>
    <xf numFmtId="14" fontId="73" fillId="27" borderId="332" xfId="1" applyNumberFormat="1" applyFont="1" applyFill="1" applyBorder="1" applyAlignment="1">
      <alignment horizontal="center" vertical="center"/>
    </xf>
    <xf numFmtId="14" fontId="73" fillId="27" borderId="24" xfId="1" applyNumberFormat="1" applyFont="1" applyFill="1" applyBorder="1" applyAlignment="1">
      <alignment horizontal="center" vertical="center"/>
    </xf>
    <xf numFmtId="14" fontId="73" fillId="26" borderId="325" xfId="1" applyNumberFormat="1" applyFont="1" applyFill="1" applyBorder="1" applyAlignment="1">
      <alignment horizontal="center" vertical="center"/>
    </xf>
    <xf numFmtId="14" fontId="73" fillId="27" borderId="245" xfId="1" applyNumberFormat="1" applyFont="1" applyFill="1" applyBorder="1" applyAlignment="1">
      <alignment horizontal="center" vertical="center"/>
    </xf>
    <xf numFmtId="14" fontId="73" fillId="27" borderId="169" xfId="1" applyNumberFormat="1" applyFont="1" applyFill="1" applyBorder="1" applyAlignment="1">
      <alignment horizontal="center" vertical="center"/>
    </xf>
    <xf numFmtId="14" fontId="73" fillId="26" borderId="245" xfId="1" applyNumberFormat="1" applyFont="1" applyFill="1" applyBorder="1" applyAlignment="1">
      <alignment horizontal="center" vertical="center"/>
    </xf>
    <xf numFmtId="14" fontId="73" fillId="24" borderId="325" xfId="1" quotePrefix="1" applyNumberFormat="1" applyFont="1" applyFill="1" applyBorder="1" applyAlignment="1">
      <alignment horizontal="center" vertical="center"/>
    </xf>
    <xf numFmtId="14" fontId="73" fillId="41" borderId="332" xfId="1" applyNumberFormat="1" applyFont="1" applyFill="1" applyBorder="1" applyAlignment="1">
      <alignment horizontal="center" vertical="center"/>
    </xf>
    <xf numFmtId="14" fontId="73" fillId="25" borderId="24" xfId="1" quotePrefix="1" applyNumberFormat="1" applyFont="1" applyFill="1" applyBorder="1" applyAlignment="1">
      <alignment horizontal="center" vertical="center"/>
    </xf>
    <xf numFmtId="14" fontId="73" fillId="46" borderId="72" xfId="1" applyNumberFormat="1" applyFont="1" applyFill="1" applyBorder="1" applyAlignment="1">
      <alignment horizontal="center" vertical="center"/>
    </xf>
    <xf numFmtId="14" fontId="73" fillId="34" borderId="64" xfId="1" applyNumberFormat="1" applyFont="1" applyFill="1" applyBorder="1" applyAlignment="1">
      <alignment horizontal="center" vertical="center"/>
    </xf>
    <xf numFmtId="14" fontId="73" fillId="34" borderId="24" xfId="1" applyNumberFormat="1" applyFont="1" applyFill="1" applyBorder="1" applyAlignment="1">
      <alignment horizontal="center" vertical="center"/>
    </xf>
    <xf numFmtId="14" fontId="73" fillId="35" borderId="72" xfId="1" applyNumberFormat="1" applyFont="1" applyFill="1" applyBorder="1" applyAlignment="1">
      <alignment horizontal="center" vertical="center"/>
    </xf>
    <xf numFmtId="14" fontId="73" fillId="35" borderId="64" xfId="1" applyNumberFormat="1" applyFont="1" applyFill="1" applyBorder="1" applyAlignment="1">
      <alignment horizontal="center" vertical="center"/>
    </xf>
    <xf numFmtId="14" fontId="73" fillId="34" borderId="24" xfId="1" quotePrefix="1" applyNumberFormat="1" applyFont="1" applyFill="1" applyBorder="1" applyAlignment="1">
      <alignment horizontal="center" vertical="center"/>
    </xf>
    <xf numFmtId="14" fontId="73" fillId="35" borderId="24" xfId="1" applyNumberFormat="1" applyFont="1" applyFill="1" applyBorder="1" applyAlignment="1">
      <alignment horizontal="center" vertical="center"/>
    </xf>
    <xf numFmtId="14" fontId="73" fillId="34" borderId="72" xfId="1" applyNumberFormat="1" applyFont="1" applyFill="1" applyBorder="1" applyAlignment="1">
      <alignment horizontal="center" vertical="center"/>
    </xf>
    <xf numFmtId="14" fontId="73" fillId="35" borderId="72" xfId="1" quotePrefix="1" applyNumberFormat="1" applyFont="1" applyFill="1" applyBorder="1" applyAlignment="1">
      <alignment horizontal="center" vertical="center"/>
    </xf>
    <xf numFmtId="14" fontId="73" fillId="37" borderId="64" xfId="1" applyNumberFormat="1" applyFont="1" applyFill="1" applyBorder="1" applyAlignment="1">
      <alignment horizontal="center" vertical="center"/>
    </xf>
    <xf numFmtId="14" fontId="73" fillId="39" borderId="64" xfId="1" applyNumberFormat="1" applyFont="1" applyFill="1" applyBorder="1" applyAlignment="1">
      <alignment horizontal="center" vertical="center"/>
    </xf>
    <xf numFmtId="14" fontId="63" fillId="36" borderId="64" xfId="1" applyNumberFormat="1" applyFont="1" applyFill="1" applyBorder="1" applyAlignment="1">
      <alignment horizontal="center" vertical="center"/>
    </xf>
    <xf numFmtId="14" fontId="73" fillId="34" borderId="55" xfId="1" applyNumberFormat="1" applyFont="1" applyFill="1" applyBorder="1" applyAlignment="1">
      <alignment horizontal="center" vertical="center"/>
    </xf>
    <xf numFmtId="14" fontId="73" fillId="35" borderId="24" xfId="1" quotePrefix="1" applyNumberFormat="1" applyFont="1" applyFill="1" applyBorder="1" applyAlignment="1">
      <alignment horizontal="center" vertical="center"/>
    </xf>
    <xf numFmtId="14" fontId="73" fillId="35" borderId="64" xfId="1" quotePrefix="1" applyNumberFormat="1" applyFont="1" applyFill="1" applyBorder="1" applyAlignment="1">
      <alignment horizontal="center" vertical="center"/>
    </xf>
    <xf numFmtId="14" fontId="73" fillId="35" borderId="245" xfId="1" applyNumberFormat="1" applyFont="1" applyFill="1" applyBorder="1" applyAlignment="1">
      <alignment horizontal="center" vertical="center"/>
    </xf>
    <xf numFmtId="14" fontId="73" fillId="34" borderId="169" xfId="1" applyNumberFormat="1" applyFont="1" applyFill="1" applyBorder="1" applyAlignment="1">
      <alignment horizontal="center" vertical="center"/>
    </xf>
    <xf numFmtId="14" fontId="73" fillId="34" borderId="245" xfId="1" applyNumberFormat="1" applyFont="1" applyFill="1" applyBorder="1" applyAlignment="1">
      <alignment horizontal="center" vertical="center"/>
    </xf>
    <xf numFmtId="14" fontId="63" fillId="35" borderId="64" xfId="1" applyNumberFormat="1" applyFont="1" applyFill="1" applyBorder="1" applyAlignment="1">
      <alignment horizontal="center" vertical="center"/>
    </xf>
    <xf numFmtId="14" fontId="73" fillId="34" borderId="169" xfId="1" quotePrefix="1" applyNumberFormat="1" applyFont="1" applyFill="1" applyBorder="1" applyAlignment="1">
      <alignment horizontal="center" vertical="center"/>
    </xf>
    <xf numFmtId="14" fontId="73" fillId="20" borderId="64" xfId="1" applyNumberFormat="1" applyFont="1" applyFill="1" applyBorder="1" applyAlignment="1">
      <alignment horizontal="center" vertical="center"/>
    </xf>
    <xf numFmtId="14" fontId="73" fillId="34" borderId="304" xfId="1" applyNumberFormat="1" applyFont="1" applyFill="1" applyBorder="1" applyAlignment="1">
      <alignment horizontal="center" vertical="center"/>
    </xf>
    <xf numFmtId="14" fontId="73" fillId="35" borderId="325" xfId="1" applyNumberFormat="1" applyFont="1" applyFill="1" applyBorder="1" applyAlignment="1">
      <alignment horizontal="center" vertical="center"/>
    </xf>
    <xf numFmtId="14" fontId="73" fillId="34" borderId="325" xfId="1" applyNumberFormat="1" applyFont="1" applyFill="1" applyBorder="1" applyAlignment="1">
      <alignment horizontal="center" vertical="center"/>
    </xf>
    <xf numFmtId="14" fontId="73" fillId="40" borderId="325" xfId="1" applyNumberFormat="1" applyFont="1" applyFill="1" applyBorder="1" applyAlignment="1">
      <alignment horizontal="center" vertical="center"/>
    </xf>
    <xf numFmtId="14" fontId="73" fillId="21" borderId="365" xfId="1" applyNumberFormat="1" applyFont="1" applyFill="1" applyBorder="1" applyAlignment="1">
      <alignment horizontal="center" vertical="center"/>
    </xf>
    <xf numFmtId="14" fontId="73" fillId="35" borderId="169" xfId="1" quotePrefix="1" applyNumberFormat="1" applyFont="1" applyFill="1" applyBorder="1" applyAlignment="1">
      <alignment horizontal="center" vertical="center"/>
    </xf>
    <xf numFmtId="14" fontId="73" fillId="34" borderId="347" xfId="1" applyNumberFormat="1" applyFont="1" applyFill="1" applyBorder="1" applyAlignment="1">
      <alignment horizontal="center" vertical="center"/>
    </xf>
    <xf numFmtId="14" fontId="73" fillId="35" borderId="365" xfId="1" applyNumberFormat="1" applyFont="1" applyFill="1" applyBorder="1" applyAlignment="1">
      <alignment horizontal="center" vertical="center"/>
    </xf>
    <xf numFmtId="14" fontId="73" fillId="34" borderId="325" xfId="1" quotePrefix="1" applyNumberFormat="1" applyFont="1" applyFill="1" applyBorder="1" applyAlignment="1">
      <alignment horizontal="center" vertical="center"/>
    </xf>
    <xf numFmtId="14" fontId="73" fillId="39" borderId="325" xfId="1" applyNumberFormat="1" applyFont="1" applyFill="1" applyBorder="1" applyAlignment="1">
      <alignment horizontal="center" vertical="center"/>
    </xf>
    <xf numFmtId="14" fontId="73" fillId="34" borderId="386" xfId="1" applyNumberFormat="1" applyFont="1" applyFill="1" applyBorder="1" applyAlignment="1">
      <alignment horizontal="center" vertical="center"/>
    </xf>
    <xf numFmtId="14" fontId="73" fillId="35" borderId="386" xfId="1" quotePrefix="1" applyNumberFormat="1" applyFont="1" applyFill="1" applyBorder="1" applyAlignment="1">
      <alignment horizontal="center" vertical="center"/>
    </xf>
    <xf numFmtId="14" fontId="73" fillId="35" borderId="386" xfId="1" applyNumberFormat="1" applyFont="1" applyFill="1" applyBorder="1" applyAlignment="1">
      <alignment horizontal="center" vertical="center"/>
    </xf>
    <xf numFmtId="14" fontId="73" fillId="35" borderId="417" xfId="1" applyNumberFormat="1" applyFont="1" applyFill="1" applyBorder="1" applyAlignment="1">
      <alignment horizontal="center" vertical="center"/>
    </xf>
    <xf numFmtId="14" fontId="73" fillId="34" borderId="365" xfId="1" applyNumberFormat="1" applyFont="1" applyFill="1" applyBorder="1" applyAlignment="1">
      <alignment horizontal="center" vertical="center"/>
    </xf>
    <xf numFmtId="14" fontId="73" fillId="39" borderId="386" xfId="1" applyNumberFormat="1" applyFont="1" applyFill="1" applyBorder="1" applyAlignment="1">
      <alignment horizontal="center" vertical="center"/>
    </xf>
    <xf numFmtId="14" fontId="73" fillId="34" borderId="417" xfId="1" applyNumberFormat="1" applyFont="1" applyFill="1" applyBorder="1" applyAlignment="1">
      <alignment horizontal="center" vertical="center"/>
    </xf>
    <xf numFmtId="14" fontId="73" fillId="35" borderId="459" xfId="1" quotePrefix="1" applyNumberFormat="1" applyFont="1" applyFill="1" applyBorder="1" applyAlignment="1">
      <alignment horizontal="center" vertical="center"/>
    </xf>
    <xf numFmtId="14" fontId="73" fillId="34" borderId="459" xfId="1" applyNumberFormat="1" applyFont="1" applyFill="1" applyBorder="1" applyAlignment="1">
      <alignment horizontal="center" vertical="center"/>
    </xf>
    <xf numFmtId="14" fontId="73" fillId="35" borderId="459" xfId="1" applyNumberFormat="1" applyFont="1" applyFill="1" applyBorder="1" applyAlignment="1">
      <alignment horizontal="center" vertical="center"/>
    </xf>
    <xf numFmtId="14" fontId="73" fillId="34" borderId="470" xfId="1" applyNumberFormat="1" applyFont="1" applyFill="1" applyBorder="1" applyAlignment="1">
      <alignment horizontal="center" vertical="center"/>
    </xf>
    <xf numFmtId="14" fontId="73" fillId="36" borderId="386" xfId="1" applyNumberFormat="1" applyFont="1" applyFill="1" applyBorder="1" applyAlignment="1">
      <alignment horizontal="center" vertical="center"/>
    </xf>
    <xf numFmtId="14" fontId="73" fillId="35" borderId="491" xfId="1" applyNumberFormat="1" applyFont="1" applyFill="1" applyBorder="1" applyAlignment="1">
      <alignment horizontal="center" vertical="center"/>
    </xf>
    <xf numFmtId="14" fontId="73" fillId="45" borderId="491" xfId="1" applyNumberFormat="1" applyFont="1" applyFill="1" applyBorder="1" applyAlignment="1">
      <alignment horizontal="center" vertical="center"/>
    </xf>
    <xf numFmtId="14" fontId="73" fillId="29" borderId="386" xfId="1" applyNumberFormat="1" applyFont="1" applyFill="1" applyBorder="1" applyAlignment="1">
      <alignment horizontal="center" vertical="center"/>
    </xf>
    <xf numFmtId="14" fontId="73" fillId="29" borderId="491" xfId="1" applyNumberFormat="1" applyFont="1" applyFill="1" applyBorder="1" applyAlignment="1">
      <alignment horizontal="center" vertical="center"/>
    </xf>
    <xf numFmtId="14" fontId="73" fillId="28" borderId="386" xfId="1" applyNumberFormat="1" applyFont="1" applyFill="1" applyBorder="1" applyAlignment="1">
      <alignment horizontal="center" vertical="center"/>
    </xf>
    <xf numFmtId="14" fontId="73" fillId="28" borderId="491" xfId="1" applyNumberFormat="1" applyFont="1" applyFill="1" applyBorder="1" applyAlignment="1">
      <alignment horizontal="center" vertical="center"/>
    </xf>
    <xf numFmtId="14" fontId="73" fillId="28" borderId="386" xfId="1" quotePrefix="1" applyNumberFormat="1" applyFont="1" applyFill="1" applyBorder="1" applyAlignment="1">
      <alignment horizontal="center" vertical="center"/>
    </xf>
    <xf numFmtId="14" fontId="73" fillId="20" borderId="491" xfId="1" applyNumberFormat="1" applyFont="1" applyFill="1" applyBorder="1" applyAlignment="1">
      <alignment horizontal="center" vertical="center"/>
    </xf>
    <xf numFmtId="14" fontId="73" fillId="55" borderId="386" xfId="1" applyNumberFormat="1" applyFont="1" applyFill="1" applyBorder="1" applyAlignment="1">
      <alignment horizontal="center" vertical="center"/>
    </xf>
    <xf numFmtId="14" fontId="73" fillId="29" borderId="356" xfId="1" applyNumberFormat="1" applyFont="1" applyFill="1" applyBorder="1" applyAlignment="1">
      <alignment horizontal="center" vertical="center"/>
    </xf>
    <xf numFmtId="14" fontId="73" fillId="28" borderId="509" xfId="1" applyNumberFormat="1" applyFont="1" applyFill="1" applyBorder="1" applyAlignment="1">
      <alignment horizontal="center" vertical="center"/>
    </xf>
    <xf numFmtId="14" fontId="73" fillId="28" borderId="508" xfId="1" applyNumberFormat="1" applyFont="1" applyFill="1" applyBorder="1" applyAlignment="1">
      <alignment horizontal="center" vertical="center"/>
    </xf>
    <xf numFmtId="14" fontId="73" fillId="29" borderId="509" xfId="1" applyNumberFormat="1" applyFont="1" applyFill="1" applyBorder="1" applyAlignment="1">
      <alignment horizontal="center" vertical="center"/>
    </xf>
    <xf numFmtId="14" fontId="73" fillId="29" borderId="508" xfId="1" applyNumberFormat="1" applyFont="1" applyFill="1" applyBorder="1" applyAlignment="1">
      <alignment horizontal="center" vertical="center"/>
    </xf>
    <xf numFmtId="14" fontId="73" fillId="20" borderId="508" xfId="1" applyNumberFormat="1" applyFont="1" applyFill="1" applyBorder="1" applyAlignment="1">
      <alignment horizontal="center" vertical="center"/>
    </xf>
    <xf numFmtId="14" fontId="73" fillId="28" borderId="426" xfId="1" applyNumberFormat="1" applyFont="1" applyFill="1" applyBorder="1" applyAlignment="1">
      <alignment horizontal="center" vertical="center"/>
    </xf>
    <xf numFmtId="14" fontId="73" fillId="28" borderId="514" xfId="1" applyNumberFormat="1" applyFont="1" applyFill="1" applyBorder="1" applyAlignment="1">
      <alignment horizontal="center" vertical="center"/>
    </xf>
    <xf numFmtId="14" fontId="73" fillId="55" borderId="509" xfId="1" applyNumberFormat="1" applyFont="1" applyFill="1" applyBorder="1" applyAlignment="1">
      <alignment horizontal="center" vertical="center"/>
    </xf>
    <xf numFmtId="14" fontId="73" fillId="29" borderId="514" xfId="1" applyNumberFormat="1" applyFont="1" applyFill="1" applyBorder="1" applyAlignment="1">
      <alignment horizontal="center" vertical="center"/>
    </xf>
    <xf numFmtId="14" fontId="73" fillId="29" borderId="426" xfId="1" applyNumberFormat="1" applyFont="1" applyFill="1" applyBorder="1" applyAlignment="1">
      <alignment horizontal="center" vertical="center"/>
    </xf>
    <xf numFmtId="14" fontId="73" fillId="30" borderId="509" xfId="1" applyNumberFormat="1" applyFont="1" applyFill="1" applyBorder="1" applyAlignment="1">
      <alignment horizontal="center" vertical="center"/>
    </xf>
    <xf numFmtId="14" fontId="73" fillId="30" borderId="514" xfId="1" applyNumberFormat="1" applyFont="1" applyFill="1" applyBorder="1" applyAlignment="1">
      <alignment horizontal="center" vertical="center"/>
    </xf>
    <xf numFmtId="14" fontId="73" fillId="32" borderId="509" xfId="1" applyNumberFormat="1" applyFont="1" applyFill="1" applyBorder="1" applyAlignment="1">
      <alignment horizontal="center" vertical="center"/>
    </xf>
    <xf numFmtId="14" fontId="73" fillId="29" borderId="509" xfId="1" quotePrefix="1" applyNumberFormat="1" applyFont="1" applyFill="1" applyBorder="1" applyAlignment="1">
      <alignment horizontal="center" vertical="center"/>
    </xf>
    <xf numFmtId="14" fontId="73" fillId="20" borderId="514" xfId="1" applyNumberFormat="1" applyFont="1" applyFill="1" applyBorder="1" applyAlignment="1">
      <alignment horizontal="center" vertical="center"/>
    </xf>
    <xf numFmtId="14" fontId="73" fillId="28" borderId="509" xfId="1" quotePrefix="1" applyNumberFormat="1" applyFont="1" applyFill="1" applyBorder="1" applyAlignment="1">
      <alignment horizontal="center" vertical="center"/>
    </xf>
    <xf numFmtId="14" fontId="73" fillId="28" borderId="514" xfId="1" quotePrefix="1" applyNumberFormat="1" applyFont="1" applyFill="1" applyBorder="1" applyAlignment="1">
      <alignment horizontal="center" vertical="center"/>
    </xf>
    <xf numFmtId="14" fontId="73" fillId="44" borderId="509" xfId="1" applyNumberFormat="1" applyFont="1" applyFill="1" applyBorder="1" applyAlignment="1">
      <alignment horizontal="center" vertical="center"/>
    </xf>
    <xf numFmtId="14" fontId="73" fillId="28" borderId="556" xfId="1" applyNumberFormat="1" applyFont="1" applyFill="1" applyBorder="1" applyAlignment="1">
      <alignment horizontal="center" vertical="center"/>
    </xf>
    <xf numFmtId="14" fontId="63" fillId="12" borderId="509" xfId="1" applyNumberFormat="1" applyFont="1" applyFill="1" applyBorder="1" applyAlignment="1">
      <alignment horizontal="center" vertical="center"/>
    </xf>
    <xf numFmtId="14" fontId="63" fillId="12" borderId="169" xfId="1" applyNumberFormat="1" applyFont="1" applyFill="1" applyBorder="1" applyAlignment="1">
      <alignment horizontal="center" vertical="center"/>
    </xf>
    <xf numFmtId="14" fontId="63" fillId="12" borderId="64" xfId="1" applyNumberFormat="1" applyFont="1" applyFill="1" applyBorder="1" applyAlignment="1">
      <alignment horizontal="center" vertical="center"/>
    </xf>
    <xf numFmtId="14" fontId="73" fillId="11" borderId="64" xfId="1" applyNumberFormat="1" applyFont="1" applyFill="1" applyBorder="1" applyAlignment="1">
      <alignment horizontal="center" vertical="center"/>
    </xf>
    <xf numFmtId="14" fontId="63" fillId="10" borderId="64" xfId="1" applyNumberFormat="1" applyFont="1" applyFill="1" applyBorder="1" applyAlignment="1">
      <alignment horizontal="center" vertical="center"/>
    </xf>
    <xf numFmtId="14" fontId="73" fillId="10" borderId="245" xfId="1" applyNumberFormat="1" applyFont="1" applyFill="1" applyBorder="1" applyAlignment="1">
      <alignment horizontal="center" vertical="center"/>
    </xf>
    <xf numFmtId="14" fontId="73" fillId="11" borderId="169" xfId="1" applyNumberFormat="1" applyFont="1" applyFill="1" applyBorder="1" applyAlignment="1">
      <alignment horizontal="center" vertical="center"/>
    </xf>
    <xf numFmtId="14" fontId="73" fillId="10" borderId="169" xfId="1" applyNumberFormat="1" applyFont="1" applyFill="1" applyBorder="1" applyAlignment="1">
      <alignment horizontal="center" vertical="center"/>
    </xf>
    <xf numFmtId="14" fontId="63" fillId="11" borderId="64" xfId="1" applyNumberFormat="1" applyFont="1" applyFill="1" applyBorder="1" applyAlignment="1">
      <alignment horizontal="center" vertical="center"/>
    </xf>
    <xf numFmtId="14" fontId="63" fillId="11" borderId="325" xfId="1" applyNumberFormat="1" applyFont="1" applyFill="1" applyBorder="1" applyAlignment="1">
      <alignment horizontal="center" vertical="center"/>
    </xf>
    <xf numFmtId="14" fontId="73" fillId="11" borderId="347" xfId="1" applyNumberFormat="1" applyFont="1" applyFill="1" applyBorder="1" applyAlignment="1">
      <alignment horizontal="center" vertical="center"/>
    </xf>
    <xf numFmtId="14" fontId="63" fillId="12" borderId="365" xfId="1" applyNumberFormat="1" applyFont="1" applyFill="1" applyBorder="1" applyAlignment="1">
      <alignment horizontal="center" vertical="center"/>
    </xf>
    <xf numFmtId="14" fontId="73" fillId="11" borderId="325" xfId="1" applyNumberFormat="1" applyFont="1" applyFill="1" applyBorder="1" applyAlignment="1">
      <alignment horizontal="center" vertical="center"/>
    </xf>
    <xf numFmtId="14" fontId="63" fillId="12" borderId="347" xfId="1" applyNumberFormat="1" applyFont="1" applyFill="1" applyBorder="1" applyAlignment="1">
      <alignment horizontal="center" vertical="center"/>
    </xf>
    <xf numFmtId="14" fontId="73" fillId="11" borderId="365" xfId="1" quotePrefix="1" applyNumberFormat="1" applyFont="1" applyFill="1" applyBorder="1" applyAlignment="1">
      <alignment horizontal="center" vertical="center"/>
    </xf>
    <xf numFmtId="14" fontId="63" fillId="13" borderId="245" xfId="1" applyNumberFormat="1" applyFont="1" applyFill="1" applyBorder="1" applyAlignment="1">
      <alignment horizontal="center" vertical="center"/>
    </xf>
    <xf numFmtId="14" fontId="63" fillId="14" borderId="64" xfId="1" applyNumberFormat="1" applyFont="1" applyFill="1" applyBorder="1" applyAlignment="1">
      <alignment horizontal="center" vertical="center"/>
    </xf>
    <xf numFmtId="14" fontId="63" fillId="11" borderId="245" xfId="1" applyNumberFormat="1" applyFont="1" applyFill="1" applyBorder="1" applyAlignment="1">
      <alignment horizontal="center" vertical="center"/>
    </xf>
    <xf numFmtId="166" fontId="63" fillId="12" borderId="169" xfId="1" applyNumberFormat="1" applyFont="1" applyFill="1" applyBorder="1" applyAlignment="1">
      <alignment horizontal="center" vertical="center"/>
    </xf>
    <xf numFmtId="14" fontId="73" fillId="11" borderId="245" xfId="1" applyNumberFormat="1" applyFont="1" applyFill="1" applyBorder="1" applyAlignment="1">
      <alignment horizontal="center" vertical="center"/>
    </xf>
    <xf numFmtId="166" fontId="63" fillId="12" borderId="64" xfId="1" applyNumberFormat="1" applyFont="1" applyFill="1" applyBorder="1" applyAlignment="1">
      <alignment horizontal="center" vertical="center"/>
    </xf>
    <xf numFmtId="14" fontId="63" fillId="12" borderId="35" xfId="1" applyNumberFormat="1" applyFont="1" applyFill="1" applyBorder="1" applyAlignment="1">
      <alignment horizontal="center" vertical="center"/>
    </xf>
    <xf numFmtId="3" fontId="38" fillId="42" borderId="245" xfId="1" applyNumberFormat="1" applyFont="1" applyFill="1" applyBorder="1" applyAlignment="1">
      <alignment horizontal="left" vertical="center"/>
    </xf>
    <xf numFmtId="3" fontId="150" fillId="42" borderId="245" xfId="1" applyNumberFormat="1" applyFont="1" applyFill="1" applyBorder="1" applyAlignment="1">
      <alignment horizontal="center" vertical="center"/>
    </xf>
    <xf numFmtId="0" fontId="150" fillId="42" borderId="245" xfId="1" applyFont="1" applyFill="1" applyBorder="1" applyAlignment="1">
      <alignment horizontal="center" vertical="center"/>
    </xf>
    <xf numFmtId="172" fontId="38" fillId="42" borderId="245" xfId="1" applyNumberFormat="1" applyFont="1" applyFill="1" applyBorder="1" applyAlignment="1">
      <alignment horizontal="center" vertical="center"/>
    </xf>
    <xf numFmtId="14" fontId="38" fillId="42" borderId="245" xfId="1" applyNumberFormat="1" applyFont="1" applyFill="1" applyBorder="1" applyAlignment="1">
      <alignment horizontal="center" vertical="center"/>
    </xf>
    <xf numFmtId="14" fontId="73" fillId="42" borderId="245" xfId="1" applyNumberFormat="1" applyFont="1" applyFill="1" applyBorder="1" applyAlignment="1">
      <alignment horizontal="center" vertical="center"/>
    </xf>
    <xf numFmtId="2" fontId="38" fillId="42" borderId="250" xfId="1" applyNumberFormat="1" applyFont="1" applyFill="1" applyBorder="1" applyAlignment="1">
      <alignment horizontal="center" vertical="center"/>
    </xf>
    <xf numFmtId="14" fontId="17" fillId="24" borderId="332" xfId="1" applyNumberFormat="1" applyFont="1" applyFill="1" applyBorder="1" applyAlignment="1">
      <alignment horizontal="center" vertical="center"/>
    </xf>
    <xf numFmtId="14" fontId="63" fillId="24" borderId="332" xfId="1" applyNumberFormat="1" applyFont="1" applyFill="1" applyBorder="1" applyAlignment="1">
      <alignment horizontal="center" vertical="center"/>
    </xf>
    <xf numFmtId="14" fontId="73" fillId="47" borderId="64" xfId="1" applyNumberFormat="1" applyFont="1" applyFill="1" applyBorder="1" applyAlignment="1">
      <alignment horizontal="center" vertical="center"/>
    </xf>
    <xf numFmtId="3" fontId="17" fillId="52" borderId="243" xfId="1" applyNumberFormat="1" applyFont="1" applyFill="1" applyBorder="1" applyAlignment="1">
      <alignment horizontal="center" vertical="center"/>
    </xf>
    <xf numFmtId="3" fontId="41" fillId="52" borderId="27" xfId="1" applyNumberFormat="1" applyFont="1" applyFill="1" applyBorder="1" applyAlignment="1">
      <alignment horizontal="center" vertical="center"/>
    </xf>
    <xf numFmtId="3" fontId="17" fillId="0" borderId="561" xfId="1" applyNumberFormat="1" applyFont="1" applyFill="1" applyBorder="1" applyAlignment="1">
      <alignment horizontal="center" vertical="center"/>
    </xf>
    <xf numFmtId="3" fontId="38" fillId="35" borderId="561" xfId="1" applyNumberFormat="1" applyFont="1" applyFill="1" applyBorder="1" applyAlignment="1">
      <alignment horizontal="left" vertical="center"/>
    </xf>
    <xf numFmtId="0" fontId="17" fillId="35" borderId="561" xfId="1" applyFont="1" applyFill="1" applyBorder="1" applyAlignment="1">
      <alignment horizontal="center" vertical="center"/>
    </xf>
    <xf numFmtId="172" fontId="38" fillId="35" borderId="561" xfId="1" applyNumberFormat="1" applyFont="1" applyFill="1" applyBorder="1" applyAlignment="1">
      <alignment horizontal="center" vertical="center"/>
    </xf>
    <xf numFmtId="166" fontId="35" fillId="0" borderId="367" xfId="1" applyNumberFormat="1" applyFont="1" applyFill="1" applyBorder="1" applyAlignment="1">
      <alignment horizontal="center" vertical="center"/>
    </xf>
    <xf numFmtId="166" fontId="33" fillId="0" borderId="367" xfId="1" applyNumberFormat="1" applyFont="1" applyFill="1" applyBorder="1" applyAlignment="1">
      <alignment horizontal="center" vertical="center"/>
    </xf>
    <xf numFmtId="166" fontId="33" fillId="3" borderId="367" xfId="1" applyNumberFormat="1" applyFont="1" applyFill="1" applyBorder="1" applyAlignment="1">
      <alignment horizontal="center" vertical="center"/>
    </xf>
    <xf numFmtId="166" fontId="144" fillId="0" borderId="367" xfId="1" applyNumberFormat="1" applyFont="1" applyFill="1" applyBorder="1" applyAlignment="1">
      <alignment horizontal="center" vertical="center"/>
    </xf>
    <xf numFmtId="3" fontId="39" fillId="35" borderId="164" xfId="1" applyNumberFormat="1" applyFont="1" applyFill="1" applyBorder="1" applyAlignment="1">
      <alignment horizontal="center" vertical="center"/>
    </xf>
    <xf numFmtId="2" fontId="38" fillId="29" borderId="393" xfId="1" applyNumberFormat="1" applyFont="1" applyFill="1" applyBorder="1" applyAlignment="1">
      <alignment horizontal="center" vertical="center"/>
    </xf>
    <xf numFmtId="2" fontId="38" fillId="29" borderId="388" xfId="1" applyNumberFormat="1" applyFont="1" applyFill="1" applyBorder="1" applyAlignment="1">
      <alignment horizontal="center" vertical="center"/>
    </xf>
    <xf numFmtId="0" fontId="63" fillId="11" borderId="77" xfId="15" applyFont="1" applyFill="1" applyBorder="1" applyAlignment="1">
      <alignment horizontal="left" vertical="center"/>
    </xf>
    <xf numFmtId="0" fontId="59" fillId="11" borderId="499" xfId="1" applyFont="1" applyFill="1" applyBorder="1" applyAlignment="1">
      <alignment horizontal="center" vertical="center"/>
    </xf>
    <xf numFmtId="3" fontId="38" fillId="11" borderId="24" xfId="1" applyNumberFormat="1" applyFont="1" applyFill="1" applyBorder="1" applyAlignment="1">
      <alignment horizontal="left" vertical="center"/>
    </xf>
    <xf numFmtId="3" fontId="40" fillId="11" borderId="24" xfId="1" applyNumberFormat="1" applyFont="1" applyFill="1" applyBorder="1" applyAlignment="1">
      <alignment horizontal="center" vertical="center"/>
    </xf>
    <xf numFmtId="0" fontId="17" fillId="11" borderId="24" xfId="1" applyFont="1" applyFill="1" applyBorder="1" applyAlignment="1">
      <alignment horizontal="center" vertical="center"/>
    </xf>
    <xf numFmtId="172" fontId="38" fillId="11" borderId="24" xfId="1" applyNumberFormat="1" applyFont="1" applyFill="1" applyBorder="1" applyAlignment="1">
      <alignment horizontal="center" vertical="center"/>
    </xf>
    <xf numFmtId="14" fontId="38" fillId="11" borderId="24" xfId="1" applyNumberFormat="1" applyFont="1" applyFill="1" applyBorder="1" applyAlignment="1">
      <alignment horizontal="center" vertical="center"/>
    </xf>
    <xf numFmtId="3" fontId="17" fillId="10" borderId="8" xfId="1" applyNumberFormat="1" applyFont="1" applyFill="1" applyBorder="1" applyAlignment="1">
      <alignment horizontal="center" vertical="center"/>
    </xf>
    <xf numFmtId="3" fontId="39" fillId="10" borderId="164" xfId="1" applyNumberFormat="1" applyFont="1" applyFill="1" applyBorder="1" applyAlignment="1">
      <alignment horizontal="center" vertical="center"/>
    </xf>
    <xf numFmtId="3" fontId="38" fillId="11" borderId="164" xfId="1" applyNumberFormat="1" applyFont="1" applyFill="1" applyBorder="1" applyAlignment="1">
      <alignment horizontal="center" vertical="center"/>
    </xf>
    <xf numFmtId="3" fontId="17" fillId="11" borderId="164" xfId="1" applyNumberFormat="1" applyFont="1" applyFill="1" applyBorder="1" applyAlignment="1">
      <alignment horizontal="center" vertical="center"/>
    </xf>
    <xf numFmtId="3" fontId="38" fillId="10" borderId="523" xfId="1" applyNumberFormat="1" applyFont="1" applyFill="1" applyBorder="1" applyAlignment="1">
      <alignment horizontal="left" vertical="center"/>
    </xf>
    <xf numFmtId="3" fontId="17" fillId="10" borderId="567" xfId="1" applyNumberFormat="1" applyFont="1" applyFill="1" applyBorder="1" applyAlignment="1">
      <alignment horizontal="center" vertical="center"/>
    </xf>
    <xf numFmtId="0" fontId="17" fillId="10" borderId="567" xfId="1" applyFont="1" applyFill="1" applyBorder="1" applyAlignment="1">
      <alignment horizontal="center" vertical="center"/>
    </xf>
    <xf numFmtId="172" fontId="38" fillId="10" borderId="567" xfId="1" applyNumberFormat="1" applyFont="1" applyFill="1" applyBorder="1" applyAlignment="1">
      <alignment horizontal="center" vertical="center"/>
    </xf>
    <xf numFmtId="14" fontId="38" fillId="10" borderId="567" xfId="1" applyNumberFormat="1" applyFont="1" applyFill="1" applyBorder="1" applyAlignment="1">
      <alignment horizontal="center" vertical="center"/>
    </xf>
    <xf numFmtId="14" fontId="73" fillId="10" borderId="567" xfId="1" applyNumberFormat="1" applyFont="1" applyFill="1" applyBorder="1" applyAlignment="1">
      <alignment horizontal="center" vertical="center"/>
    </xf>
    <xf numFmtId="2" fontId="38" fillId="11" borderId="602" xfId="1" applyNumberFormat="1" applyFont="1" applyFill="1" applyBorder="1" applyAlignment="1">
      <alignment horizontal="center" vertical="center"/>
    </xf>
    <xf numFmtId="3" fontId="17" fillId="10" borderId="0" xfId="1" applyNumberFormat="1" applyFont="1" applyFill="1" applyBorder="1" applyAlignment="1">
      <alignment horizontal="center" vertical="center"/>
    </xf>
    <xf numFmtId="3" fontId="39" fillId="10" borderId="367" xfId="1" applyNumberFormat="1" applyFont="1" applyFill="1" applyBorder="1" applyAlignment="1">
      <alignment horizontal="center" vertical="center"/>
    </xf>
    <xf numFmtId="3" fontId="38" fillId="11" borderId="367" xfId="1" applyNumberFormat="1" applyFont="1" applyFill="1" applyBorder="1" applyAlignment="1">
      <alignment horizontal="center" vertical="center"/>
    </xf>
    <xf numFmtId="3" fontId="38" fillId="10" borderId="64" xfId="1" applyNumberFormat="1" applyFont="1" applyFill="1" applyBorder="1" applyAlignment="1">
      <alignment horizontal="left" vertical="center"/>
    </xf>
    <xf numFmtId="172" fontId="38" fillId="10" borderId="64" xfId="1" applyNumberFormat="1" applyFont="1" applyFill="1" applyBorder="1" applyAlignment="1">
      <alignment horizontal="center" vertical="center"/>
    </xf>
    <xf numFmtId="14" fontId="38" fillId="10" borderId="64" xfId="1" applyNumberFormat="1" applyFont="1" applyFill="1" applyBorder="1" applyAlignment="1">
      <alignment horizontal="center" vertical="center"/>
    </xf>
    <xf numFmtId="14" fontId="73" fillId="10" borderId="64" xfId="1" applyNumberFormat="1" applyFont="1" applyFill="1" applyBorder="1" applyAlignment="1">
      <alignment horizontal="center" vertical="center"/>
    </xf>
    <xf numFmtId="0" fontId="59" fillId="11" borderId="8" xfId="1" applyFont="1" applyFill="1" applyBorder="1" applyAlignment="1">
      <alignment horizontal="center" vertical="center"/>
    </xf>
    <xf numFmtId="0" fontId="41" fillId="11" borderId="313" xfId="1" applyFont="1" applyFill="1" applyBorder="1" applyAlignment="1">
      <alignment horizontal="center" vertical="center"/>
    </xf>
    <xf numFmtId="0" fontId="41" fillId="11" borderId="0" xfId="1" applyFont="1" applyFill="1" applyBorder="1" applyAlignment="1">
      <alignment horizontal="center" vertical="center"/>
    </xf>
    <xf numFmtId="0" fontId="35" fillId="11" borderId="28" xfId="1" applyFont="1" applyFill="1" applyBorder="1" applyAlignment="1">
      <alignment horizontal="center" vertical="center"/>
    </xf>
    <xf numFmtId="0" fontId="35" fillId="10" borderId="600" xfId="1" applyFont="1" applyFill="1" applyBorder="1" applyAlignment="1">
      <alignment horizontal="center" vertical="center"/>
    </xf>
    <xf numFmtId="0" fontId="35" fillId="11" borderId="389" xfId="1" applyFont="1" applyFill="1" applyBorder="1" applyAlignment="1">
      <alignment horizontal="center" vertical="center"/>
    </xf>
    <xf numFmtId="3" fontId="41" fillId="3" borderId="0" xfId="1" applyNumberFormat="1" applyFont="1" applyFill="1" applyBorder="1" applyAlignment="1">
      <alignment horizontal="center" vertical="center"/>
    </xf>
    <xf numFmtId="3" fontId="39" fillId="3" borderId="367" xfId="1" applyNumberFormat="1" applyFont="1" applyFill="1" applyBorder="1" applyAlignment="1">
      <alignment horizontal="center" vertical="center"/>
    </xf>
    <xf numFmtId="0" fontId="43" fillId="4" borderId="21" xfId="1" applyFont="1" applyFill="1" applyBorder="1" applyAlignment="1">
      <alignment horizontal="center" vertical="center"/>
    </xf>
    <xf numFmtId="0" fontId="104" fillId="17" borderId="4" xfId="15" applyFont="1" applyFill="1" applyBorder="1" applyAlignment="1">
      <alignment horizontal="left" vertical="center"/>
    </xf>
    <xf numFmtId="0" fontId="73" fillId="4" borderId="4" xfId="1" applyFont="1" applyFill="1" applyBorder="1" applyAlignment="1">
      <alignment horizontal="left" vertical="center"/>
    </xf>
    <xf numFmtId="0" fontId="116" fillId="4" borderId="0" xfId="15" applyFont="1" applyFill="1" applyBorder="1" applyAlignment="1">
      <alignment horizontal="left" vertical="center"/>
    </xf>
    <xf numFmtId="0" fontId="73" fillId="4" borderId="287" xfId="1" applyFont="1" applyFill="1" applyBorder="1" applyAlignment="1">
      <alignment horizontal="left" vertical="center"/>
    </xf>
    <xf numFmtId="0" fontId="112" fillId="4" borderId="473" xfId="15" applyFont="1" applyFill="1" applyBorder="1" applyAlignment="1">
      <alignment horizontal="left" vertical="center"/>
    </xf>
    <xf numFmtId="0" fontId="63" fillId="4" borderId="472" xfId="1" applyFont="1" applyFill="1" applyBorder="1" applyAlignment="1">
      <alignment horizontal="left" vertical="center"/>
    </xf>
    <xf numFmtId="3" fontId="39" fillId="4" borderId="333" xfId="1" applyNumberFormat="1" applyFont="1" applyFill="1" applyBorder="1" applyAlignment="1">
      <alignment horizontal="center" vertical="center"/>
    </xf>
    <xf numFmtId="3" fontId="38" fillId="4" borderId="327" xfId="1" applyNumberFormat="1" applyFont="1" applyFill="1" applyBorder="1" applyAlignment="1">
      <alignment horizontal="center" vertical="center"/>
    </xf>
    <xf numFmtId="3" fontId="17" fillId="35" borderId="561" xfId="1" applyNumberFormat="1" applyFont="1" applyFill="1" applyBorder="1" applyAlignment="1">
      <alignment horizontal="center" vertical="center"/>
    </xf>
    <xf numFmtId="3" fontId="39" fillId="24" borderId="176" xfId="1" applyNumberFormat="1" applyFont="1" applyFill="1" applyBorder="1" applyAlignment="1">
      <alignment horizontal="center" vertical="center"/>
    </xf>
    <xf numFmtId="3" fontId="39" fillId="24" borderId="428" xfId="1" applyNumberFormat="1" applyFont="1" applyFill="1" applyBorder="1" applyAlignment="1">
      <alignment horizontal="center" vertical="center"/>
    </xf>
    <xf numFmtId="3" fontId="41" fillId="4" borderId="244" xfId="1" applyNumberFormat="1" applyFont="1" applyFill="1" applyBorder="1" applyAlignment="1">
      <alignment horizontal="center" vertical="center"/>
    </xf>
    <xf numFmtId="3" fontId="37" fillId="4" borderId="302" xfId="1" applyNumberFormat="1" applyFont="1" applyFill="1" applyBorder="1" applyAlignment="1">
      <alignment horizontal="center" vertical="center"/>
    </xf>
    <xf numFmtId="3" fontId="37" fillId="4" borderId="0" xfId="1" applyNumberFormat="1" applyFont="1" applyFill="1" applyBorder="1" applyAlignment="1">
      <alignment horizontal="center" vertical="center"/>
    </xf>
    <xf numFmtId="3" fontId="38" fillId="0" borderId="102" xfId="1" applyNumberFormat="1" applyFont="1" applyFill="1" applyBorder="1" applyAlignment="1">
      <alignment horizontal="center" vertical="center"/>
    </xf>
    <xf numFmtId="3" fontId="38" fillId="0" borderId="428" xfId="1" applyNumberFormat="1" applyFont="1" applyFill="1" applyBorder="1" applyAlignment="1">
      <alignment horizontal="center" vertical="center"/>
    </xf>
    <xf numFmtId="3" fontId="17" fillId="0" borderId="278" xfId="1" applyNumberFormat="1" applyFont="1" applyFill="1" applyBorder="1" applyAlignment="1">
      <alignment horizontal="center"/>
    </xf>
    <xf numFmtId="3" fontId="17" fillId="0" borderId="287" xfId="1" applyNumberFormat="1" applyFont="1" applyFill="1" applyBorder="1" applyAlignment="1">
      <alignment horizontal="center"/>
    </xf>
    <xf numFmtId="3" fontId="38" fillId="24" borderId="176" xfId="1" applyNumberFormat="1" applyFont="1" applyFill="1" applyBorder="1" applyAlignment="1">
      <alignment horizontal="left" vertical="center"/>
    </xf>
    <xf numFmtId="3" fontId="38" fillId="24" borderId="176" xfId="1" applyNumberFormat="1" applyFont="1" applyFill="1" applyBorder="1" applyAlignment="1">
      <alignment horizontal="center" vertical="center"/>
    </xf>
    <xf numFmtId="3" fontId="38" fillId="4" borderId="304" xfId="1" applyNumberFormat="1" applyFont="1" applyFill="1" applyBorder="1" applyAlignment="1">
      <alignment horizontal="center" vertical="center"/>
    </xf>
    <xf numFmtId="3" fontId="17" fillId="4" borderId="331" xfId="1" applyNumberFormat="1" applyFont="1" applyFill="1" applyBorder="1" applyAlignment="1">
      <alignment horizontal="center" vertical="center"/>
    </xf>
    <xf numFmtId="3" fontId="17" fillId="4" borderId="304" xfId="1" applyNumberFormat="1" applyFont="1" applyFill="1" applyBorder="1" applyAlignment="1">
      <alignment horizontal="center" vertical="center"/>
    </xf>
    <xf numFmtId="3" fontId="150" fillId="4" borderId="386" xfId="1" applyNumberFormat="1" applyFont="1" applyFill="1" applyBorder="1" applyAlignment="1">
      <alignment horizontal="center" vertical="center"/>
    </xf>
    <xf numFmtId="3" fontId="38" fillId="4" borderId="278" xfId="1" applyNumberFormat="1" applyFont="1" applyFill="1" applyBorder="1" applyAlignment="1">
      <alignment horizontal="center" vertical="center"/>
    </xf>
    <xf numFmtId="0" fontId="17" fillId="24" borderId="176" xfId="1" applyFont="1" applyFill="1" applyBorder="1" applyAlignment="1">
      <alignment horizontal="center" vertical="center"/>
    </xf>
    <xf numFmtId="0" fontId="17" fillId="24" borderId="386" xfId="1" applyFont="1" applyFill="1" applyBorder="1" applyAlignment="1">
      <alignment horizontal="center" vertical="center"/>
    </xf>
    <xf numFmtId="172" fontId="38" fillId="5" borderId="164" xfId="1" applyNumberFormat="1" applyFont="1" applyFill="1" applyBorder="1" applyAlignment="1">
      <alignment horizontal="center" vertical="center"/>
    </xf>
    <xf numFmtId="14" fontId="38" fillId="24" borderId="176" xfId="1" applyNumberFormat="1" applyFont="1" applyFill="1" applyBorder="1" applyAlignment="1">
      <alignment horizontal="center" vertical="center"/>
    </xf>
    <xf numFmtId="14" fontId="38" fillId="24" borderId="386" xfId="1" applyNumberFormat="1" applyFont="1" applyFill="1" applyBorder="1" applyAlignment="1">
      <alignment horizontal="center" vertical="center"/>
    </xf>
    <xf numFmtId="14" fontId="38" fillId="25" borderId="313" xfId="1" applyNumberFormat="1" applyFont="1" applyFill="1" applyBorder="1" applyAlignment="1">
      <alignment horizontal="center" vertical="center"/>
    </xf>
    <xf numFmtId="14" fontId="38" fillId="24" borderId="372" xfId="1" applyNumberFormat="1" applyFont="1" applyFill="1" applyBorder="1" applyAlignment="1">
      <alignment horizontal="center" vertical="center"/>
    </xf>
    <xf numFmtId="0" fontId="23" fillId="20" borderId="604" xfId="1" applyFont="1" applyFill="1" applyBorder="1" applyAlignment="1">
      <alignment horizontal="center" vertical="center"/>
    </xf>
    <xf numFmtId="0" fontId="114" fillId="20" borderId="0" xfId="1" applyFont="1" applyFill="1" applyBorder="1" applyAlignment="1">
      <alignment horizontal="left" vertical="center"/>
    </xf>
    <xf numFmtId="3" fontId="39" fillId="20" borderId="509" xfId="1" applyNumberFormat="1" applyFont="1" applyFill="1" applyBorder="1" applyAlignment="1">
      <alignment horizontal="center" vertical="center"/>
    </xf>
    <xf numFmtId="3" fontId="17" fillId="9" borderId="509" xfId="1" applyNumberFormat="1" applyFont="1" applyFill="1" applyBorder="1" applyAlignment="1">
      <alignment horizontal="center" vertical="center"/>
    </xf>
    <xf numFmtId="3" fontId="38" fillId="20" borderId="509" xfId="1" applyNumberFormat="1" applyFont="1" applyFill="1" applyBorder="1" applyAlignment="1">
      <alignment horizontal="left" vertical="center"/>
    </xf>
    <xf numFmtId="0" fontId="17" fillId="20" borderId="509" xfId="1" applyFont="1" applyFill="1" applyBorder="1" applyAlignment="1">
      <alignment horizontal="center" vertical="center"/>
    </xf>
    <xf numFmtId="172" fontId="33" fillId="20" borderId="509" xfId="1" applyNumberFormat="1" applyFont="1" applyFill="1" applyBorder="1" applyAlignment="1">
      <alignment horizontal="center" vertical="center"/>
    </xf>
    <xf numFmtId="14" fontId="38" fillId="20" borderId="509" xfId="1" applyNumberFormat="1" applyFont="1" applyFill="1" applyBorder="1" applyAlignment="1">
      <alignment horizontal="center" vertical="center"/>
    </xf>
    <xf numFmtId="14" fontId="73" fillId="20" borderId="509" xfId="1" applyNumberFormat="1" applyFont="1" applyFill="1" applyBorder="1" applyAlignment="1">
      <alignment horizontal="center" vertical="center"/>
    </xf>
    <xf numFmtId="2" fontId="38" fillId="3" borderId="510" xfId="1" applyNumberFormat="1" applyFont="1" applyFill="1" applyBorder="1" applyAlignment="1">
      <alignment horizontal="center" vertical="center"/>
    </xf>
    <xf numFmtId="0" fontId="43" fillId="12" borderId="21" xfId="1" applyFont="1" applyFill="1" applyBorder="1" applyAlignment="1">
      <alignment horizontal="center" vertical="center"/>
    </xf>
    <xf numFmtId="0" fontId="35" fillId="12" borderId="604" xfId="1" applyFont="1" applyFill="1" applyBorder="1" applyAlignment="1">
      <alignment horizontal="center" vertical="center"/>
    </xf>
    <xf numFmtId="0" fontId="43" fillId="10" borderId="246" xfId="1" applyFont="1" applyFill="1" applyBorder="1" applyAlignment="1">
      <alignment horizontal="center" vertical="center"/>
    </xf>
    <xf numFmtId="0" fontId="35" fillId="11" borderId="604" xfId="1" applyFont="1" applyFill="1" applyBorder="1" applyAlignment="1">
      <alignment horizontal="center" vertical="center"/>
    </xf>
    <xf numFmtId="0" fontId="104" fillId="10" borderId="4" xfId="15" applyFont="1" applyFill="1" applyBorder="1" applyAlignment="1">
      <alignment horizontal="left" vertical="center"/>
    </xf>
    <xf numFmtId="0" fontId="115" fillId="11" borderId="0" xfId="15" applyFont="1" applyFill="1" applyBorder="1" applyAlignment="1">
      <alignment horizontal="left" vertical="center"/>
    </xf>
    <xf numFmtId="0" fontId="104" fillId="11" borderId="247" xfId="15" applyFont="1" applyFill="1" applyBorder="1" applyAlignment="1">
      <alignment horizontal="left" vertical="center"/>
    </xf>
    <xf numFmtId="0" fontId="117" fillId="12" borderId="8" xfId="1" applyFont="1" applyFill="1" applyBorder="1" applyAlignment="1">
      <alignment horizontal="center"/>
    </xf>
    <xf numFmtId="0" fontId="117" fillId="10" borderId="498" xfId="1" applyFont="1" applyFill="1" applyBorder="1" applyAlignment="1">
      <alignment horizontal="center"/>
    </xf>
    <xf numFmtId="0" fontId="59" fillId="12" borderId="8" xfId="1" applyFont="1" applyFill="1" applyBorder="1" applyAlignment="1">
      <alignment horizontal="center"/>
    </xf>
    <xf numFmtId="0" fontId="117" fillId="11" borderId="0" xfId="1" applyFont="1" applyFill="1" applyBorder="1" applyAlignment="1">
      <alignment horizontal="center"/>
    </xf>
    <xf numFmtId="0" fontId="17" fillId="12" borderId="356" xfId="1" applyFont="1" applyFill="1" applyBorder="1" applyAlignment="1">
      <alignment horizontal="center" vertical="center"/>
    </xf>
    <xf numFmtId="3" fontId="17" fillId="12" borderId="556" xfId="1" applyNumberFormat="1" applyFont="1" applyFill="1" applyBorder="1" applyAlignment="1">
      <alignment horizontal="center" vertical="center"/>
    </xf>
    <xf numFmtId="3" fontId="17" fillId="12" borderId="567" xfId="1" applyNumberFormat="1" applyFont="1" applyFill="1" applyBorder="1" applyAlignment="1">
      <alignment horizontal="center" vertical="center"/>
    </xf>
    <xf numFmtId="3" fontId="17" fillId="12" borderId="470" xfId="1" applyNumberFormat="1" applyFont="1" applyFill="1" applyBorder="1" applyAlignment="1">
      <alignment horizontal="center" vertical="center"/>
    </xf>
    <xf numFmtId="3" fontId="17" fillId="12" borderId="556" xfId="1" applyNumberFormat="1" applyFont="1" applyFill="1" applyBorder="1" applyAlignment="1">
      <alignment horizontal="left" vertical="center"/>
    </xf>
    <xf numFmtId="3" fontId="17" fillId="10" borderId="245" xfId="1" applyNumberFormat="1" applyFont="1" applyFill="1" applyBorder="1" applyAlignment="1">
      <alignment horizontal="left" vertical="center"/>
    </xf>
    <xf numFmtId="3" fontId="17" fillId="12" borderId="567" xfId="1" applyNumberFormat="1" applyFont="1" applyFill="1" applyBorder="1" applyAlignment="1">
      <alignment horizontal="left" vertical="center"/>
    </xf>
    <xf numFmtId="3" fontId="38" fillId="11" borderId="509" xfId="1" applyNumberFormat="1" applyFont="1" applyFill="1" applyBorder="1" applyAlignment="1">
      <alignment horizontal="left" vertical="center"/>
    </xf>
    <xf numFmtId="3" fontId="17" fillId="12" borderId="470" xfId="1" applyNumberFormat="1" applyFont="1" applyFill="1" applyBorder="1" applyAlignment="1">
      <alignment horizontal="left" vertical="center"/>
    </xf>
    <xf numFmtId="3" fontId="150" fillId="11" borderId="325" xfId="1" applyNumberFormat="1" applyFont="1" applyFill="1" applyBorder="1" applyAlignment="1">
      <alignment horizontal="center" vertical="center"/>
    </xf>
    <xf numFmtId="3" fontId="38" fillId="10" borderId="169" xfId="1" applyNumberFormat="1" applyFont="1" applyFill="1" applyBorder="1" applyAlignment="1">
      <alignment horizontal="center" vertical="center"/>
    </xf>
    <xf numFmtId="3" fontId="38" fillId="10" borderId="482" xfId="1" applyNumberFormat="1" applyFont="1" applyFill="1" applyBorder="1" applyAlignment="1">
      <alignment horizontal="center" vertical="center"/>
    </xf>
    <xf numFmtId="0" fontId="17" fillId="12" borderId="556" xfId="1" applyFont="1" applyFill="1" applyBorder="1" applyAlignment="1">
      <alignment horizontal="center" vertical="center"/>
    </xf>
    <xf numFmtId="0" fontId="17" fillId="12" borderId="567" xfId="1" applyFont="1" applyFill="1" applyBorder="1" applyAlignment="1">
      <alignment horizontal="center" vertical="center"/>
    </xf>
    <xf numFmtId="0" fontId="17" fillId="11" borderId="509" xfId="1" applyFont="1" applyFill="1" applyBorder="1" applyAlignment="1">
      <alignment horizontal="center" vertical="center"/>
    </xf>
    <xf numFmtId="0" fontId="17" fillId="12" borderId="470" xfId="1" applyFont="1" applyFill="1" applyBorder="1" applyAlignment="1">
      <alignment horizontal="center" vertical="center"/>
    </xf>
    <xf numFmtId="172" fontId="17" fillId="12" borderId="556" xfId="1" applyNumberFormat="1" applyFont="1" applyFill="1" applyBorder="1" applyAlignment="1">
      <alignment horizontal="center" vertical="center"/>
    </xf>
    <xf numFmtId="172" fontId="17" fillId="10" borderId="245" xfId="1" applyNumberFormat="1" applyFont="1" applyFill="1" applyBorder="1" applyAlignment="1">
      <alignment horizontal="center" vertical="center"/>
    </xf>
    <xf numFmtId="172" fontId="17" fillId="12" borderId="567" xfId="1" applyNumberFormat="1" applyFont="1" applyFill="1" applyBorder="1" applyAlignment="1">
      <alignment horizontal="center" vertical="center"/>
    </xf>
    <xf numFmtId="172" fontId="38" fillId="11" borderId="509" xfId="1" applyNumberFormat="1" applyFont="1" applyFill="1" applyBorder="1" applyAlignment="1">
      <alignment horizontal="center" vertical="center"/>
    </xf>
    <xf numFmtId="172" fontId="17" fillId="12" borderId="470" xfId="1" applyNumberFormat="1" applyFont="1" applyFill="1" applyBorder="1" applyAlignment="1">
      <alignment horizontal="center" vertical="center"/>
    </xf>
    <xf numFmtId="172" fontId="38" fillId="10" borderId="169" xfId="1" applyNumberFormat="1" applyFont="1" applyFill="1" applyBorder="1" applyAlignment="1">
      <alignment horizontal="center" vertical="center"/>
    </xf>
    <xf numFmtId="14" fontId="17" fillId="12" borderId="556" xfId="1" applyNumberFormat="1" applyFont="1" applyFill="1" applyBorder="1" applyAlignment="1">
      <alignment horizontal="center" vertical="center"/>
    </xf>
    <xf numFmtId="14" fontId="17" fillId="10" borderId="245" xfId="1" applyNumberFormat="1" applyFont="1" applyFill="1" applyBorder="1" applyAlignment="1">
      <alignment horizontal="center" vertical="center"/>
    </xf>
    <xf numFmtId="14" fontId="38" fillId="11" borderId="509" xfId="1" applyNumberFormat="1" applyFont="1" applyFill="1" applyBorder="1" applyAlignment="1">
      <alignment horizontal="center" vertical="center"/>
    </xf>
    <xf numFmtId="14" fontId="17" fillId="12" borderId="470" xfId="1" applyNumberFormat="1" applyFont="1" applyFill="1" applyBorder="1" applyAlignment="1">
      <alignment horizontal="center" vertical="center"/>
    </xf>
    <xf numFmtId="14" fontId="38" fillId="11" borderId="245" xfId="1" quotePrefix="1" applyNumberFormat="1" applyFont="1" applyFill="1" applyBorder="1" applyAlignment="1">
      <alignment horizontal="center" vertical="center"/>
    </xf>
    <xf numFmtId="14" fontId="63" fillId="12" borderId="556" xfId="1" applyNumberFormat="1" applyFont="1" applyFill="1" applyBorder="1" applyAlignment="1">
      <alignment horizontal="center" vertical="center"/>
    </xf>
    <xf numFmtId="14" fontId="63" fillId="10" borderId="245" xfId="1" applyNumberFormat="1" applyFont="1" applyFill="1" applyBorder="1" applyAlignment="1">
      <alignment horizontal="center" vertical="center"/>
    </xf>
    <xf numFmtId="14" fontId="73" fillId="11" borderId="509" xfId="1" applyNumberFormat="1" applyFont="1" applyFill="1" applyBorder="1" applyAlignment="1">
      <alignment horizontal="center" vertical="center"/>
    </xf>
    <xf numFmtId="14" fontId="63" fillId="12" borderId="470" xfId="1" applyNumberFormat="1" applyFont="1" applyFill="1" applyBorder="1" applyAlignment="1">
      <alignment horizontal="center" vertical="center"/>
    </xf>
    <xf numFmtId="14" fontId="73" fillId="11" borderId="245" xfId="1" quotePrefix="1" applyNumberFormat="1" applyFont="1" applyFill="1" applyBorder="1" applyAlignment="1">
      <alignment horizontal="center" vertical="center"/>
    </xf>
    <xf numFmtId="2" fontId="38" fillId="11" borderId="518" xfId="1" applyNumberFormat="1" applyFont="1" applyFill="1" applyBorder="1" applyAlignment="1">
      <alignment horizontal="center" vertical="center"/>
    </xf>
    <xf numFmtId="3" fontId="39" fillId="10" borderId="64" xfId="1" applyNumberFormat="1" applyFont="1" applyFill="1" applyBorder="1" applyAlignment="1">
      <alignment horizontal="center" vertical="center"/>
    </xf>
    <xf numFmtId="166" fontId="23" fillId="12" borderId="608" xfId="1" applyNumberFormat="1" applyFont="1" applyFill="1" applyBorder="1" applyAlignment="1">
      <alignment horizontal="center" vertical="center"/>
    </xf>
    <xf numFmtId="0" fontId="49" fillId="0" borderId="0" xfId="0" applyFont="1" applyBorder="1" applyAlignment="1">
      <alignment horizontal="left" vertical="center"/>
    </xf>
    <xf numFmtId="3" fontId="45" fillId="0" borderId="608" xfId="1" applyNumberFormat="1" applyFont="1" applyFill="1" applyBorder="1" applyAlignment="1">
      <alignment horizontal="center" vertical="center"/>
    </xf>
    <xf numFmtId="3" fontId="45" fillId="0" borderId="612" xfId="1" applyNumberFormat="1" applyFont="1" applyFill="1" applyBorder="1" applyAlignment="1">
      <alignment horizontal="center" vertical="center"/>
    </xf>
    <xf numFmtId="3" fontId="45" fillId="0" borderId="611" xfId="1" applyNumberFormat="1" applyFont="1" applyFill="1" applyBorder="1" applyAlignment="1">
      <alignment horizontal="center" vertical="center"/>
    </xf>
    <xf numFmtId="3" fontId="45" fillId="0" borderId="615" xfId="1" applyNumberFormat="1" applyFont="1" applyFill="1" applyBorder="1" applyAlignment="1">
      <alignment horizontal="center" vertical="center"/>
    </xf>
    <xf numFmtId="3" fontId="45" fillId="0" borderId="616" xfId="1" applyNumberFormat="1" applyFont="1" applyFill="1" applyBorder="1" applyAlignment="1">
      <alignment horizontal="center" vertical="center"/>
    </xf>
    <xf numFmtId="0" fontId="59" fillId="4" borderId="499" xfId="1" applyFont="1" applyFill="1" applyBorder="1" applyAlignment="1">
      <alignment horizontal="center"/>
    </xf>
    <xf numFmtId="0" fontId="104" fillId="4" borderId="607" xfId="15" applyFont="1" applyFill="1" applyBorder="1" applyAlignment="1">
      <alignment horizontal="left" vertical="center"/>
    </xf>
    <xf numFmtId="3" fontId="58" fillId="0" borderId="420" xfId="1" applyNumberFormat="1" applyFont="1" applyFill="1" applyBorder="1" applyAlignment="1">
      <alignment horizontal="center" vertical="center"/>
    </xf>
    <xf numFmtId="169" fontId="17" fillId="0" borderId="619" xfId="1" applyNumberFormat="1" applyFont="1" applyFill="1" applyBorder="1" applyAlignment="1">
      <alignment horizontal="right" vertical="center"/>
    </xf>
    <xf numFmtId="3" fontId="45" fillId="0" borderId="617" xfId="1" applyNumberFormat="1" applyFont="1" applyFill="1" applyBorder="1" applyAlignment="1">
      <alignment horizontal="center" vertical="center"/>
    </xf>
    <xf numFmtId="0" fontId="46" fillId="0" borderId="587" xfId="1" applyFont="1" applyFill="1" applyBorder="1" applyAlignment="1">
      <alignment horizontal="center" vertical="center"/>
    </xf>
    <xf numFmtId="0" fontId="133" fillId="0" borderId="228" xfId="15" applyFont="1" applyFill="1" applyBorder="1" applyAlignment="1">
      <alignment horizontal="left" vertical="center"/>
    </xf>
    <xf numFmtId="0" fontId="46" fillId="0" borderId="585" xfId="1" applyFont="1" applyFill="1" applyBorder="1" applyAlignment="1">
      <alignment horizontal="center" vertical="center"/>
    </xf>
    <xf numFmtId="0" fontId="82" fillId="0" borderId="614" xfId="15" applyFont="1" applyFill="1" applyBorder="1" applyAlignment="1">
      <alignment horizontal="left" vertical="center"/>
    </xf>
    <xf numFmtId="0" fontId="46" fillId="0" borderId="433" xfId="1" applyFont="1" applyFill="1" applyBorder="1" applyAlignment="1">
      <alignment horizontal="center" vertical="center"/>
    </xf>
    <xf numFmtId="0" fontId="43" fillId="4" borderId="323" xfId="1" applyFont="1" applyFill="1" applyBorder="1" applyAlignment="1">
      <alignment horizontal="center" vertical="center"/>
    </xf>
    <xf numFmtId="0" fontId="104" fillId="4" borderId="254" xfId="15" applyFont="1" applyFill="1" applyBorder="1" applyAlignment="1">
      <alignment horizontal="left" vertical="center"/>
    </xf>
    <xf numFmtId="0" fontId="104" fillId="52" borderId="0" xfId="15" applyFont="1" applyFill="1" applyBorder="1" applyAlignment="1">
      <alignment horizontal="left" vertical="center"/>
    </xf>
    <xf numFmtId="0" fontId="104" fillId="4" borderId="489" xfId="15" applyFont="1" applyFill="1" applyBorder="1" applyAlignment="1">
      <alignment horizontal="left" vertical="center"/>
    </xf>
    <xf numFmtId="0" fontId="113" fillId="3" borderId="0" xfId="15" applyFont="1" applyFill="1" applyBorder="1" applyAlignment="1">
      <alignment horizontal="left" vertical="center"/>
    </xf>
    <xf numFmtId="0" fontId="117" fillId="3" borderId="0" xfId="1" applyFont="1" applyFill="1" applyBorder="1" applyAlignment="1">
      <alignment horizontal="center"/>
    </xf>
    <xf numFmtId="3" fontId="17" fillId="4" borderId="314" xfId="1" applyNumberFormat="1" applyFont="1" applyFill="1" applyBorder="1" applyAlignment="1">
      <alignment horizontal="center" vertical="center"/>
    </xf>
    <xf numFmtId="3" fontId="17" fillId="3" borderId="290" xfId="1" applyNumberFormat="1" applyFont="1" applyFill="1" applyBorder="1" applyAlignment="1">
      <alignment horizontal="center" vertical="center"/>
    </xf>
    <xf numFmtId="3" fontId="17" fillId="52" borderId="278" xfId="1" applyNumberFormat="1" applyFont="1" applyFill="1" applyBorder="1" applyAlignment="1">
      <alignment horizontal="center" vertical="center"/>
    </xf>
    <xf numFmtId="3" fontId="17" fillId="3" borderId="291" xfId="1" applyNumberFormat="1" applyFont="1" applyFill="1" applyBorder="1" applyAlignment="1">
      <alignment horizontal="center" vertical="center"/>
    </xf>
    <xf numFmtId="3" fontId="17" fillId="4" borderId="291" xfId="1" applyNumberFormat="1" applyFont="1" applyFill="1" applyBorder="1" applyAlignment="1">
      <alignment horizontal="left" vertical="center"/>
    </xf>
    <xf numFmtId="3" fontId="17" fillId="3" borderId="301" xfId="1" applyNumberFormat="1" applyFont="1" applyFill="1" applyBorder="1" applyAlignment="1">
      <alignment horizontal="left" vertical="center"/>
    </xf>
    <xf numFmtId="3" fontId="150" fillId="4" borderId="291" xfId="1" applyNumberFormat="1" applyFont="1" applyFill="1" applyBorder="1" applyAlignment="1">
      <alignment horizontal="center" vertical="center"/>
    </xf>
    <xf numFmtId="3" fontId="150" fillId="3" borderId="301" xfId="1" applyNumberFormat="1" applyFont="1" applyFill="1" applyBorder="1" applyAlignment="1">
      <alignment horizontal="center" vertical="center"/>
    </xf>
    <xf numFmtId="0" fontId="150" fillId="4" borderId="291" xfId="1" applyFont="1" applyFill="1" applyBorder="1" applyAlignment="1">
      <alignment horizontal="center" vertical="center"/>
    </xf>
    <xf numFmtId="0" fontId="150" fillId="3" borderId="301" xfId="1" applyFont="1" applyFill="1" applyBorder="1" applyAlignment="1">
      <alignment horizontal="center" vertical="center"/>
    </xf>
    <xf numFmtId="172" fontId="38" fillId="4" borderId="291" xfId="1" applyNumberFormat="1" applyFont="1" applyFill="1" applyBorder="1" applyAlignment="1">
      <alignment horizontal="center" vertical="center"/>
    </xf>
    <xf numFmtId="172" fontId="33" fillId="3" borderId="301" xfId="1" applyNumberFormat="1" applyFont="1" applyFill="1" applyBorder="1" applyAlignment="1">
      <alignment horizontal="center" vertical="center"/>
    </xf>
    <xf numFmtId="14" fontId="38" fillId="4" borderId="291" xfId="1" applyNumberFormat="1" applyFont="1" applyFill="1" applyBorder="1" applyAlignment="1">
      <alignment horizontal="center" vertical="center"/>
    </xf>
    <xf numFmtId="14" fontId="38" fillId="3" borderId="301" xfId="1" applyNumberFormat="1" applyFont="1" applyFill="1" applyBorder="1" applyAlignment="1">
      <alignment horizontal="center" vertical="center"/>
    </xf>
    <xf numFmtId="14" fontId="73" fillId="4" borderId="291" xfId="1" applyNumberFormat="1" applyFont="1" applyFill="1" applyBorder="1" applyAlignment="1">
      <alignment horizontal="center" vertical="center"/>
    </xf>
    <xf numFmtId="14" fontId="73" fillId="3" borderId="301" xfId="1" applyNumberFormat="1" applyFont="1" applyFill="1" applyBorder="1" applyAlignment="1">
      <alignment horizontal="center" vertical="center"/>
    </xf>
    <xf numFmtId="2" fontId="38" fillId="3" borderId="292" xfId="1" applyNumberFormat="1" applyFont="1" applyFill="1" applyBorder="1" applyAlignment="1">
      <alignment horizontal="center" vertical="center"/>
    </xf>
    <xf numFmtId="0" fontId="43" fillId="59" borderId="286" xfId="1" applyFont="1" applyFill="1" applyBorder="1" applyAlignment="1">
      <alignment horizontal="center" vertical="center"/>
    </xf>
    <xf numFmtId="0" fontId="43" fillId="52" borderId="25" xfId="1" applyFont="1" applyFill="1" applyBorder="1" applyAlignment="1">
      <alignment horizontal="center" vertical="center"/>
    </xf>
    <xf numFmtId="3" fontId="17" fillId="52" borderId="319" xfId="1" applyNumberFormat="1" applyFont="1" applyFill="1" applyBorder="1" applyAlignment="1">
      <alignment horizontal="center" vertical="center"/>
    </xf>
    <xf numFmtId="0" fontId="73" fillId="41" borderId="337" xfId="1" applyFont="1" applyFill="1" applyBorder="1" applyAlignment="1">
      <alignment horizontal="left" vertical="center"/>
    </xf>
    <xf numFmtId="0" fontId="104" fillId="27" borderId="77" xfId="15" applyFont="1" applyFill="1" applyBorder="1" applyAlignment="1">
      <alignment horizontal="left" vertical="center"/>
    </xf>
    <xf numFmtId="0" fontId="73" fillId="27" borderId="337" xfId="1" applyFont="1" applyFill="1" applyBorder="1" applyAlignment="1">
      <alignment horizontal="left" vertical="center"/>
    </xf>
    <xf numFmtId="0" fontId="59" fillId="42" borderId="498" xfId="1" applyFont="1" applyFill="1" applyBorder="1" applyAlignment="1">
      <alignment horizontal="center"/>
    </xf>
    <xf numFmtId="3" fontId="39" fillId="41" borderId="333" xfId="1" applyNumberFormat="1" applyFont="1" applyFill="1" applyBorder="1" applyAlignment="1">
      <alignment horizontal="center" vertical="center"/>
    </xf>
    <xf numFmtId="3" fontId="39" fillId="41" borderId="332" xfId="1" applyNumberFormat="1" applyFont="1" applyFill="1" applyBorder="1" applyAlignment="1">
      <alignment horizontal="center" vertical="center"/>
    </xf>
    <xf numFmtId="3" fontId="17" fillId="8" borderId="332" xfId="1" applyNumberFormat="1" applyFont="1" applyFill="1" applyBorder="1" applyAlignment="1">
      <alignment horizontal="center" vertical="center"/>
    </xf>
    <xf numFmtId="172" fontId="17" fillId="27" borderId="24" xfId="1" applyNumberFormat="1" applyFont="1" applyFill="1" applyBorder="1" applyAlignment="1">
      <alignment horizontal="center" vertical="center"/>
    </xf>
    <xf numFmtId="172" fontId="17" fillId="25" borderId="24" xfId="1" applyNumberFormat="1" applyFont="1" applyFill="1" applyBorder="1" applyAlignment="1">
      <alignment horizontal="center" vertical="center"/>
    </xf>
    <xf numFmtId="14" fontId="38" fillId="24" borderId="72" xfId="1" quotePrefix="1" applyNumberFormat="1" applyFont="1" applyFill="1" applyBorder="1" applyAlignment="1">
      <alignment horizontal="center" vertical="center"/>
    </xf>
    <xf numFmtId="0" fontId="82" fillId="2" borderId="464" xfId="15" applyFont="1" applyFill="1" applyBorder="1" applyAlignment="1">
      <alignment horizontal="left" vertical="center"/>
    </xf>
    <xf numFmtId="3" fontId="49" fillId="0" borderId="571" xfId="0" applyNumberFormat="1" applyFont="1" applyBorder="1" applyAlignment="1">
      <alignment horizontal="center" vertical="center"/>
    </xf>
    <xf numFmtId="0" fontId="49" fillId="0" borderId="571" xfId="0" applyFont="1" applyBorder="1" applyAlignment="1">
      <alignment horizontal="center" vertical="center"/>
    </xf>
    <xf numFmtId="0" fontId="1" fillId="0" borderId="571" xfId="0" applyFont="1" applyBorder="1" applyAlignment="1">
      <alignment horizontal="center" vertical="center"/>
    </xf>
    <xf numFmtId="0" fontId="45" fillId="0" borderId="483" xfId="15" applyFont="1" applyFill="1" applyBorder="1" applyAlignment="1">
      <alignment horizontal="left" vertical="center"/>
    </xf>
    <xf numFmtId="0" fontId="82" fillId="17" borderId="0" xfId="15" applyFont="1" applyFill="1" applyBorder="1" applyAlignment="1">
      <alignment horizontal="left" vertical="center"/>
    </xf>
    <xf numFmtId="0" fontId="147" fillId="0" borderId="0" xfId="1" applyFont="1" applyFill="1" applyBorder="1" applyAlignment="1">
      <alignment horizontal="center"/>
    </xf>
    <xf numFmtId="169" fontId="17" fillId="0" borderId="620" xfId="1" applyNumberFormat="1" applyFont="1" applyFill="1" applyBorder="1" applyAlignment="1">
      <alignment horizontal="right" vertical="center"/>
    </xf>
    <xf numFmtId="3" fontId="45" fillId="0" borderId="621" xfId="1" applyNumberFormat="1" applyFont="1" applyFill="1" applyBorder="1" applyAlignment="1">
      <alignment horizontal="center" vertical="center"/>
    </xf>
    <xf numFmtId="3" fontId="41" fillId="4" borderId="326" xfId="1" applyNumberFormat="1" applyFont="1" applyFill="1" applyBorder="1" applyAlignment="1">
      <alignment horizontal="center" vertical="center"/>
    </xf>
    <xf numFmtId="0" fontId="104" fillId="58" borderId="0" xfId="15" applyFont="1" applyFill="1" applyBorder="1" applyAlignment="1">
      <alignment horizontal="left" vertical="center"/>
    </xf>
    <xf numFmtId="0" fontId="63" fillId="10" borderId="247" xfId="15" applyFont="1" applyFill="1" applyBorder="1" applyAlignment="1">
      <alignment horizontal="left" vertical="center"/>
    </xf>
    <xf numFmtId="0" fontId="82" fillId="2" borderId="544" xfId="15" applyFont="1" applyFill="1" applyBorder="1" applyAlignment="1">
      <alignment horizontal="left" vertical="center"/>
    </xf>
    <xf numFmtId="0" fontId="82" fillId="2" borderId="516" xfId="15" applyFont="1" applyFill="1" applyBorder="1" applyAlignment="1">
      <alignment horizontal="left" vertical="center"/>
    </xf>
    <xf numFmtId="0" fontId="82" fillId="2" borderId="414" xfId="15" applyFont="1" applyFill="1" applyBorder="1" applyAlignment="1">
      <alignment horizontal="left" vertical="center"/>
    </xf>
    <xf numFmtId="0" fontId="82" fillId="2" borderId="59" xfId="15" applyFont="1" applyFill="1" applyBorder="1" applyAlignment="1">
      <alignment horizontal="left" vertical="center"/>
    </xf>
    <xf numFmtId="0" fontId="82" fillId="2" borderId="302" xfId="15" applyFont="1" applyFill="1" applyBorder="1" applyAlignment="1">
      <alignment horizontal="left" vertical="center"/>
    </xf>
    <xf numFmtId="0" fontId="82" fillId="2" borderId="598" xfId="15" applyFont="1" applyFill="1" applyBorder="1" applyAlignment="1">
      <alignment horizontal="left" vertical="center"/>
    </xf>
    <xf numFmtId="0" fontId="82" fillId="2" borderId="413" xfId="15" applyFont="1" applyFill="1" applyBorder="1" applyAlignment="1">
      <alignment horizontal="left" vertical="center"/>
    </xf>
    <xf numFmtId="0" fontId="82" fillId="2" borderId="199" xfId="15" applyFont="1" applyFill="1" applyBorder="1" applyAlignment="1">
      <alignment horizontal="left" vertical="center"/>
    </xf>
    <xf numFmtId="0" fontId="82" fillId="2" borderId="404" xfId="15" applyFont="1" applyFill="1" applyBorder="1" applyAlignment="1">
      <alignment horizontal="left" vertical="center"/>
    </xf>
    <xf numFmtId="0" fontId="82" fillId="2" borderId="383" xfId="15" applyFont="1" applyFill="1" applyBorder="1" applyAlignment="1">
      <alignment horizontal="left" vertical="center"/>
    </xf>
    <xf numFmtId="0" fontId="82" fillId="2" borderId="484" xfId="15" applyFont="1" applyFill="1" applyBorder="1" applyAlignment="1">
      <alignment horizontal="left" vertical="center"/>
    </xf>
    <xf numFmtId="0" fontId="82" fillId="2" borderId="461" xfId="15" applyFont="1" applyFill="1" applyBorder="1" applyAlignment="1">
      <alignment horizontal="left" vertical="center"/>
    </xf>
    <xf numFmtId="0" fontId="82" fillId="2" borderId="551" xfId="15" applyFont="1" applyFill="1" applyBorder="1" applyAlignment="1">
      <alignment horizontal="left" vertical="center"/>
    </xf>
    <xf numFmtId="0" fontId="82" fillId="2" borderId="539" xfId="15" applyFont="1" applyFill="1" applyBorder="1" applyAlignment="1">
      <alignment horizontal="left" vertical="center"/>
    </xf>
    <xf numFmtId="0" fontId="82" fillId="2" borderId="149" xfId="15" applyFont="1" applyFill="1" applyBorder="1" applyAlignment="1">
      <alignment horizontal="left" vertical="center"/>
    </xf>
    <xf numFmtId="0" fontId="82" fillId="2" borderId="5" xfId="15" applyFont="1" applyFill="1" applyBorder="1" applyAlignment="1">
      <alignment horizontal="left" vertical="center"/>
    </xf>
    <xf numFmtId="0" fontId="82" fillId="2" borderId="412" xfId="15" applyFont="1" applyFill="1" applyBorder="1" applyAlignment="1">
      <alignment horizontal="left" vertical="center"/>
    </xf>
    <xf numFmtId="0" fontId="104" fillId="2" borderId="494" xfId="15" applyFont="1" applyFill="1" applyBorder="1" applyAlignment="1">
      <alignment horizontal="left" vertical="center"/>
    </xf>
    <xf numFmtId="49" fontId="63" fillId="2" borderId="494" xfId="1" quotePrefix="1" applyNumberFormat="1" applyFont="1" applyFill="1" applyBorder="1" applyAlignment="1">
      <alignment horizontal="center" vertical="center"/>
    </xf>
    <xf numFmtId="0" fontId="104" fillId="2" borderId="356" xfId="15" applyFont="1" applyFill="1" applyBorder="1" applyAlignment="1">
      <alignment horizontal="left" vertical="center"/>
    </xf>
    <xf numFmtId="0" fontId="104" fillId="2" borderId="386" xfId="15" applyFont="1" applyFill="1" applyBorder="1" applyAlignment="1">
      <alignment horizontal="left" vertical="center"/>
    </xf>
    <xf numFmtId="49" fontId="63" fillId="18" borderId="64" xfId="1" quotePrefix="1" applyNumberFormat="1" applyFont="1" applyFill="1" applyBorder="1" applyAlignment="1">
      <alignment horizontal="center" vertical="center"/>
    </xf>
    <xf numFmtId="49" fontId="63" fillId="18" borderId="491" xfId="1" quotePrefix="1" applyNumberFormat="1" applyFont="1" applyFill="1" applyBorder="1" applyAlignment="1">
      <alignment horizontal="center" vertical="center"/>
    </xf>
    <xf numFmtId="0" fontId="104" fillId="58" borderId="386" xfId="15" applyFont="1" applyFill="1" applyBorder="1" applyAlignment="1">
      <alignment horizontal="left" vertical="center"/>
    </xf>
    <xf numFmtId="49" fontId="63" fillId="18" borderId="64" xfId="1" applyNumberFormat="1" applyFont="1" applyFill="1" applyBorder="1" applyAlignment="1">
      <alignment horizontal="center" vertical="center"/>
    </xf>
    <xf numFmtId="49" fontId="63" fillId="2" borderId="491" xfId="1" applyNumberFormat="1" applyFont="1" applyFill="1" applyBorder="1" applyAlignment="1">
      <alignment horizontal="center" vertical="center"/>
    </xf>
    <xf numFmtId="3" fontId="17" fillId="2" borderId="508" xfId="1" applyNumberFormat="1" applyFont="1" applyFill="1" applyBorder="1" applyAlignment="1">
      <alignment horizontal="center" vertical="center"/>
    </xf>
    <xf numFmtId="0" fontId="104" fillId="2" borderId="0" xfId="15" applyFont="1" applyFill="1" applyBorder="1" applyAlignment="1">
      <alignment horizontal="left"/>
    </xf>
    <xf numFmtId="49" fontId="63" fillId="18" borderId="386" xfId="1" applyNumberFormat="1" applyFont="1" applyFill="1" applyBorder="1" applyAlignment="1">
      <alignment horizontal="center" vertical="center"/>
    </xf>
    <xf numFmtId="0" fontId="104" fillId="2" borderId="493" xfId="15" applyFont="1" applyFill="1" applyBorder="1" applyAlignment="1">
      <alignment horizontal="left" vertical="center"/>
    </xf>
    <xf numFmtId="49" fontId="63" fillId="2" borderId="64" xfId="1" quotePrefix="1" applyNumberFormat="1" applyFont="1" applyFill="1" applyBorder="1" applyAlignment="1">
      <alignment horizontal="center" vertical="center"/>
    </xf>
    <xf numFmtId="49" fontId="63" fillId="18" borderId="64" xfId="1" applyNumberFormat="1" applyFont="1" applyFill="1" applyBorder="1" applyAlignment="1">
      <alignment horizontal="left" vertical="center"/>
    </xf>
    <xf numFmtId="0" fontId="104" fillId="58" borderId="356" xfId="15" applyFont="1" applyFill="1" applyBorder="1" applyAlignment="1">
      <alignment horizontal="left" vertical="center"/>
    </xf>
    <xf numFmtId="49" fontId="63" fillId="2" borderId="567" xfId="1" quotePrefix="1" applyNumberFormat="1" applyFont="1" applyFill="1" applyBorder="1" applyAlignment="1">
      <alignment horizontal="center" vertical="center"/>
    </xf>
    <xf numFmtId="3" fontId="38" fillId="2" borderId="509" xfId="1" applyNumberFormat="1" applyFont="1" applyFill="1" applyBorder="1" applyAlignment="1">
      <alignment horizontal="center" vertical="center"/>
    </xf>
    <xf numFmtId="0" fontId="63" fillId="18" borderId="326" xfId="1" applyFont="1" applyFill="1" applyBorder="1" applyAlignment="1">
      <alignment horizontal="left" vertical="center"/>
    </xf>
    <xf numFmtId="49" fontId="63" fillId="18" borderId="509" xfId="1" applyNumberFormat="1" applyFont="1" applyFill="1" applyBorder="1" applyAlignment="1">
      <alignment horizontal="center" vertical="center"/>
    </xf>
    <xf numFmtId="0" fontId="104" fillId="34" borderId="606" xfId="15" applyFont="1" applyFill="1" applyBorder="1" applyAlignment="1">
      <alignment horizontal="left" vertical="center"/>
    </xf>
    <xf numFmtId="49" fontId="63" fillId="34" borderId="64" xfId="1" applyNumberFormat="1" applyFont="1" applyFill="1" applyBorder="1" applyAlignment="1">
      <alignment horizontal="center" vertical="center"/>
    </xf>
    <xf numFmtId="0" fontId="49" fillId="0" borderId="0" xfId="0" applyFont="1" applyAlignment="1">
      <alignment vertical="center"/>
    </xf>
    <xf numFmtId="0" fontId="70" fillId="0" borderId="0" xfId="1" applyFont="1" applyFill="1" applyBorder="1" applyAlignment="1">
      <alignment horizontal="center" vertical="center"/>
    </xf>
    <xf numFmtId="0" fontId="23" fillId="3" borderId="0" xfId="1" applyFont="1" applyFill="1" applyBorder="1" applyAlignment="1">
      <alignment horizontal="center" vertical="center"/>
    </xf>
    <xf numFmtId="0" fontId="23" fillId="52" borderId="17" xfId="1" applyFont="1" applyFill="1" applyBorder="1" applyAlignment="1">
      <alignment horizontal="center" vertical="center"/>
    </xf>
    <xf numFmtId="0" fontId="73" fillId="24" borderId="8" xfId="1" applyFont="1" applyFill="1" applyBorder="1" applyAlignment="1">
      <alignment horizontal="left" vertical="center"/>
    </xf>
    <xf numFmtId="0" fontId="132" fillId="4" borderId="8" xfId="15" applyFont="1" applyFill="1" applyBorder="1" applyAlignment="1">
      <alignment horizontal="left" vertical="center"/>
    </xf>
    <xf numFmtId="0" fontId="63" fillId="4" borderId="337" xfId="15" applyFont="1" applyFill="1" applyBorder="1" applyAlignment="1">
      <alignment horizontal="left" vertical="center"/>
    </xf>
    <xf numFmtId="0" fontId="59" fillId="47" borderId="0" xfId="1" applyFont="1" applyFill="1" applyBorder="1" applyAlignment="1">
      <alignment horizontal="center"/>
    </xf>
    <xf numFmtId="3" fontId="17" fillId="24" borderId="8" xfId="1" applyNumberFormat="1" applyFont="1" applyFill="1" applyBorder="1" applyAlignment="1">
      <alignment horizontal="center" vertical="center"/>
    </xf>
    <xf numFmtId="3" fontId="17" fillId="24" borderId="502" xfId="1" applyNumberFormat="1" applyFont="1" applyFill="1" applyBorder="1" applyAlignment="1">
      <alignment horizontal="center" vertical="center"/>
    </xf>
    <xf numFmtId="3" fontId="17" fillId="24" borderId="401" xfId="1" applyNumberFormat="1" applyFont="1" applyFill="1" applyBorder="1" applyAlignment="1">
      <alignment horizontal="center" vertical="center"/>
    </xf>
    <xf numFmtId="3" fontId="39" fillId="47" borderId="325" xfId="1" applyNumberFormat="1" applyFont="1" applyFill="1" applyBorder="1" applyAlignment="1">
      <alignment horizontal="center" vertical="center"/>
    </xf>
    <xf numFmtId="3" fontId="41" fillId="4" borderId="332" xfId="1" applyNumberFormat="1" applyFont="1" applyFill="1" applyBorder="1" applyAlignment="1">
      <alignment horizontal="center" vertical="center"/>
    </xf>
    <xf numFmtId="3" fontId="17" fillId="0" borderId="325" xfId="1" quotePrefix="1" applyNumberFormat="1" applyFont="1" applyFill="1" applyBorder="1" applyAlignment="1">
      <alignment horizontal="center" vertical="center"/>
    </xf>
    <xf numFmtId="3" fontId="38" fillId="47" borderId="325" xfId="1" applyNumberFormat="1" applyFont="1" applyFill="1" applyBorder="1" applyAlignment="1">
      <alignment horizontal="left" vertical="center"/>
    </xf>
    <xf numFmtId="3" fontId="38" fillId="4" borderId="347" xfId="1" applyNumberFormat="1" applyFont="1" applyFill="1" applyBorder="1" applyAlignment="1">
      <alignment horizontal="left" vertical="center"/>
    </xf>
    <xf numFmtId="3" fontId="38" fillId="47" borderId="325" xfId="1" applyNumberFormat="1" applyFont="1" applyFill="1" applyBorder="1" applyAlignment="1">
      <alignment horizontal="center" vertical="center"/>
    </xf>
    <xf numFmtId="3" fontId="38" fillId="4" borderId="347" xfId="1" applyNumberFormat="1" applyFont="1" applyFill="1" applyBorder="1" applyAlignment="1">
      <alignment horizontal="center" vertical="center"/>
    </xf>
    <xf numFmtId="0" fontId="17" fillId="47" borderId="325" xfId="1" applyFont="1" applyFill="1" applyBorder="1" applyAlignment="1">
      <alignment horizontal="center" vertical="center"/>
    </xf>
    <xf numFmtId="0" fontId="17" fillId="4" borderId="347" xfId="1" applyFont="1" applyFill="1" applyBorder="1" applyAlignment="1">
      <alignment horizontal="center" vertical="center"/>
    </xf>
    <xf numFmtId="172" fontId="38" fillId="47" borderId="325" xfId="1" applyNumberFormat="1" applyFont="1" applyFill="1" applyBorder="1" applyAlignment="1">
      <alignment horizontal="center" vertical="center"/>
    </xf>
    <xf numFmtId="172" fontId="38" fillId="4" borderId="347" xfId="1" applyNumberFormat="1" applyFont="1" applyFill="1" applyBorder="1" applyAlignment="1">
      <alignment horizontal="center" vertical="center"/>
    </xf>
    <xf numFmtId="14" fontId="38" fillId="47" borderId="325" xfId="1" applyNumberFormat="1" applyFont="1" applyFill="1" applyBorder="1" applyAlignment="1">
      <alignment horizontal="center" vertical="center"/>
    </xf>
    <xf numFmtId="14" fontId="38" fillId="4" borderId="347" xfId="1" applyNumberFormat="1" applyFont="1" applyFill="1" applyBorder="1" applyAlignment="1">
      <alignment horizontal="center" vertical="center"/>
    </xf>
    <xf numFmtId="14" fontId="38" fillId="4" borderId="308" xfId="1" applyNumberFormat="1" applyFont="1" applyFill="1" applyBorder="1" applyAlignment="1">
      <alignment horizontal="center" vertical="center"/>
    </xf>
    <xf numFmtId="2" fontId="38" fillId="47" borderId="318" xfId="1" applyNumberFormat="1" applyFont="1" applyFill="1" applyBorder="1" applyAlignment="1">
      <alignment horizontal="center" vertical="center"/>
    </xf>
    <xf numFmtId="0" fontId="104" fillId="17" borderId="607" xfId="15" applyFont="1" applyFill="1" applyBorder="1" applyAlignment="1">
      <alignment horizontal="left" vertical="center"/>
    </xf>
    <xf numFmtId="0" fontId="82" fillId="0" borderId="578" xfId="15" applyFont="1" applyFill="1" applyBorder="1" applyAlignment="1">
      <alignment horizontal="left" vertical="center"/>
    </xf>
    <xf numFmtId="0" fontId="45" fillId="0" borderId="118" xfId="15" applyFont="1" applyFill="1" applyBorder="1" applyAlignment="1">
      <alignment horizontal="left" vertical="center"/>
    </xf>
    <xf numFmtId="0" fontId="82" fillId="0" borderId="334" xfId="15" applyFont="1" applyFill="1" applyBorder="1" applyAlignment="1">
      <alignment horizontal="left" vertical="center"/>
    </xf>
    <xf numFmtId="0" fontId="45" fillId="0" borderId="210" xfId="15" applyFont="1" applyFill="1" applyBorder="1" applyAlignment="1">
      <alignment horizontal="left" vertical="center"/>
    </xf>
    <xf numFmtId="0" fontId="82" fillId="0" borderId="527" xfId="15" applyFont="1" applyFill="1" applyBorder="1" applyAlignment="1">
      <alignment horizontal="left" vertical="center"/>
    </xf>
    <xf numFmtId="0" fontId="82" fillId="17" borderId="614" xfId="15" quotePrefix="1" applyFont="1" applyFill="1" applyBorder="1" applyAlignment="1">
      <alignment horizontal="left" vertical="center"/>
    </xf>
    <xf numFmtId="0" fontId="82" fillId="0" borderId="613" xfId="15" applyFont="1" applyFill="1" applyBorder="1" applyAlignment="1">
      <alignment horizontal="left" vertical="center"/>
    </xf>
    <xf numFmtId="0" fontId="82" fillId="0" borderId="618" xfId="15" applyFont="1" applyFill="1" applyBorder="1" applyAlignment="1">
      <alignment horizontal="left" vertical="center"/>
    </xf>
    <xf numFmtId="0" fontId="82" fillId="0" borderId="564" xfId="15" applyFont="1" applyFill="1" applyBorder="1" applyAlignment="1">
      <alignment horizontal="left" vertical="center"/>
    </xf>
    <xf numFmtId="0" fontId="45" fillId="0" borderId="8" xfId="15" applyFont="1" applyFill="1" applyBorder="1" applyAlignment="1">
      <alignment horizontal="left" vertical="center"/>
    </xf>
    <xf numFmtId="0" fontId="82" fillId="17" borderId="569" xfId="15" applyFont="1" applyFill="1" applyBorder="1" applyAlignment="1">
      <alignment horizontal="left" vertical="center"/>
    </xf>
    <xf numFmtId="0" fontId="82" fillId="0" borderId="413" xfId="15" applyFont="1" applyFill="1" applyBorder="1" applyAlignment="1">
      <alignment horizontal="left" vertical="center"/>
    </xf>
    <xf numFmtId="0" fontId="82" fillId="3" borderId="199" xfId="15" applyFont="1" applyFill="1" applyBorder="1" applyAlignment="1">
      <alignment horizontal="left" vertical="center"/>
    </xf>
    <xf numFmtId="0" fontId="82" fillId="3" borderId="383" xfId="15" applyFont="1" applyFill="1" applyBorder="1" applyAlignment="1">
      <alignment horizontal="left" vertical="center"/>
    </xf>
    <xf numFmtId="0" fontId="69" fillId="0" borderId="551" xfId="1" applyFont="1" applyFill="1" applyBorder="1" applyAlignment="1">
      <alignment horizontal="left" vertical="center"/>
    </xf>
    <xf numFmtId="0" fontId="82" fillId="17" borderId="461" xfId="15" applyFont="1" applyFill="1" applyBorder="1" applyAlignment="1">
      <alignment horizontal="left" vertical="center"/>
    </xf>
    <xf numFmtId="0" fontId="82" fillId="17" borderId="199" xfId="15" quotePrefix="1" applyFont="1" applyFill="1" applyBorder="1" applyAlignment="1">
      <alignment horizontal="left" vertical="center"/>
    </xf>
    <xf numFmtId="0" fontId="46" fillId="0" borderId="589" xfId="1" applyFont="1" applyFill="1" applyBorder="1" applyAlignment="1">
      <alignment horizontal="center" vertical="center"/>
    </xf>
    <xf numFmtId="3" fontId="6" fillId="0" borderId="0" xfId="15" applyNumberFormat="1" applyFill="1" applyAlignment="1">
      <alignment horizontal="left" vertical="center"/>
    </xf>
    <xf numFmtId="0" fontId="46" fillId="0" borderId="532" xfId="1" applyFont="1" applyFill="1" applyBorder="1" applyAlignment="1">
      <alignment horizontal="center" vertical="center"/>
    </xf>
    <xf numFmtId="0" fontId="46" fillId="3" borderId="532" xfId="1" applyFont="1" applyFill="1" applyBorder="1" applyAlignment="1">
      <alignment horizontal="center" vertical="center"/>
    </xf>
    <xf numFmtId="0" fontId="46" fillId="0" borderId="592" xfId="1" applyFont="1" applyFill="1" applyBorder="1" applyAlignment="1">
      <alignment horizontal="center" vertical="center"/>
    </xf>
    <xf numFmtId="0" fontId="46" fillId="0" borderId="559" xfId="1" applyFont="1" applyFill="1" applyBorder="1" applyAlignment="1">
      <alignment horizontal="center" vertical="center"/>
    </xf>
    <xf numFmtId="0" fontId="46" fillId="0" borderId="480" xfId="1" applyFont="1" applyFill="1" applyBorder="1" applyAlignment="1">
      <alignment horizontal="center" vertical="center"/>
    </xf>
    <xf numFmtId="0" fontId="46" fillId="0" borderId="595" xfId="1" applyFont="1" applyFill="1" applyBorder="1" applyAlignment="1">
      <alignment horizontal="center" vertical="center"/>
    </xf>
    <xf numFmtId="0" fontId="46" fillId="3" borderId="49" xfId="1" applyFont="1" applyFill="1" applyBorder="1" applyAlignment="1">
      <alignment horizontal="center" vertical="center"/>
    </xf>
    <xf numFmtId="0" fontId="46" fillId="0" borderId="205" xfId="1" applyFont="1" applyFill="1" applyBorder="1" applyAlignment="1">
      <alignment horizontal="center" vertical="center"/>
    </xf>
    <xf numFmtId="0" fontId="46" fillId="0" borderId="594" xfId="1" applyFont="1" applyFill="1" applyBorder="1" applyAlignment="1">
      <alignment horizontal="center" vertical="center"/>
    </xf>
    <xf numFmtId="0" fontId="46" fillId="0" borderId="622" xfId="1" applyFont="1" applyFill="1" applyBorder="1" applyAlignment="1">
      <alignment horizontal="center" vertical="center"/>
    </xf>
    <xf numFmtId="0" fontId="46" fillId="3" borderId="8" xfId="1" applyFont="1" applyFill="1" applyBorder="1" applyAlignment="1">
      <alignment horizontal="center" vertical="center"/>
    </xf>
    <xf numFmtId="0" fontId="46" fillId="0" borderId="8" xfId="1" applyFont="1" applyFill="1" applyBorder="1" applyAlignment="1">
      <alignment horizontal="center" vertical="center"/>
    </xf>
    <xf numFmtId="0" fontId="46" fillId="0" borderId="526" xfId="1" applyFont="1" applyFill="1" applyBorder="1" applyAlignment="1">
      <alignment horizontal="center" vertical="center"/>
    </xf>
    <xf numFmtId="0" fontId="46" fillId="0" borderId="18" xfId="1" applyFont="1" applyFill="1" applyBorder="1" applyAlignment="1">
      <alignment horizontal="center" vertical="center"/>
    </xf>
    <xf numFmtId="0" fontId="49" fillId="0" borderId="0" xfId="0" applyFont="1" applyBorder="1" applyAlignment="1">
      <alignment horizontal="left" vertical="center"/>
    </xf>
    <xf numFmtId="0" fontId="82" fillId="11" borderId="544" xfId="15" applyFont="1" applyFill="1" applyBorder="1" applyAlignment="1">
      <alignment horizontal="left" vertical="center"/>
    </xf>
    <xf numFmtId="0" fontId="82" fillId="11" borderId="551" xfId="15" applyFont="1" applyFill="1" applyBorder="1" applyAlignment="1">
      <alignment horizontal="left" vertical="center"/>
    </xf>
    <xf numFmtId="0" fontId="45" fillId="0" borderId="589" xfId="1" applyFont="1" applyFill="1" applyBorder="1" applyAlignment="1">
      <alignment vertical="center"/>
    </xf>
    <xf numFmtId="0" fontId="87" fillId="0" borderId="532" xfId="1" applyFont="1" applyFill="1" applyBorder="1" applyAlignment="1">
      <alignment horizontal="left" vertical="center"/>
    </xf>
    <xf numFmtId="0" fontId="82" fillId="11" borderId="464" xfId="15" applyFont="1" applyFill="1" applyBorder="1" applyAlignment="1">
      <alignment horizontal="left" vertical="center"/>
    </xf>
    <xf numFmtId="0" fontId="82" fillId="11" borderId="539" xfId="15" applyFont="1" applyFill="1" applyBorder="1" applyAlignment="1">
      <alignment horizontal="left" vertical="center"/>
    </xf>
    <xf numFmtId="0" fontId="82" fillId="11" borderId="465" xfId="15" applyFont="1" applyFill="1" applyBorder="1" applyAlignment="1">
      <alignment horizontal="left" vertical="center"/>
    </xf>
    <xf numFmtId="0" fontId="45" fillId="0" borderId="589" xfId="1" applyFont="1" applyFill="1" applyBorder="1" applyAlignment="1">
      <alignment horizontal="left" vertical="center"/>
    </xf>
    <xf numFmtId="0" fontId="46" fillId="0" borderId="529" xfId="1" applyFont="1" applyFill="1" applyBorder="1" applyAlignment="1">
      <alignment horizontal="center" vertical="center"/>
    </xf>
    <xf numFmtId="0" fontId="64" fillId="0" borderId="598" xfId="0" applyFont="1" applyBorder="1" applyAlignment="1">
      <alignment vertical="center"/>
    </xf>
    <xf numFmtId="0" fontId="82" fillId="2" borderId="465" xfId="15" applyFont="1" applyFill="1" applyBorder="1" applyAlignment="1">
      <alignment horizontal="left" vertical="center"/>
    </xf>
    <xf numFmtId="0" fontId="45" fillId="0" borderId="554" xfId="15" applyFont="1" applyFill="1" applyBorder="1" applyAlignment="1">
      <alignment horizontal="left" vertical="center"/>
    </xf>
    <xf numFmtId="0" fontId="82" fillId="11" borderId="197" xfId="15" applyFont="1" applyFill="1" applyBorder="1" applyAlignment="1">
      <alignment horizontal="left" vertical="center"/>
    </xf>
    <xf numFmtId="0" fontId="104" fillId="56" borderId="539" xfId="15" applyFont="1" applyFill="1" applyBorder="1" applyAlignment="1">
      <alignment horizontal="left" vertical="center"/>
    </xf>
    <xf numFmtId="0" fontId="46" fillId="0" borderId="481" xfId="1" applyFont="1" applyFill="1" applyBorder="1" applyAlignment="1">
      <alignment horizontal="left" vertical="center"/>
    </xf>
    <xf numFmtId="0" fontId="82" fillId="11" borderId="199" xfId="15" applyFont="1" applyFill="1" applyBorder="1" applyAlignment="1">
      <alignment horizontal="left" vertical="center"/>
    </xf>
    <xf numFmtId="0" fontId="82" fillId="11" borderId="404" xfId="15" applyFont="1" applyFill="1" applyBorder="1" applyAlignment="1">
      <alignment horizontal="left" vertical="center"/>
    </xf>
    <xf numFmtId="0" fontId="64" fillId="0" borderId="539" xfId="0" applyFont="1" applyFill="1" applyBorder="1" applyAlignment="1">
      <alignment vertical="center"/>
    </xf>
    <xf numFmtId="0" fontId="69" fillId="0" borderId="589" xfId="1" applyFont="1" applyFill="1" applyBorder="1" applyAlignment="1">
      <alignment horizontal="left" vertical="center"/>
    </xf>
    <xf numFmtId="0" fontId="82" fillId="11" borderId="296" xfId="15" applyFont="1" applyFill="1" applyBorder="1" applyAlignment="1">
      <alignment horizontal="left" vertical="center"/>
    </xf>
    <xf numFmtId="0" fontId="86" fillId="0" borderId="201" xfId="1" applyFont="1" applyFill="1" applyBorder="1" applyAlignment="1">
      <alignment horizontal="left" vertical="center"/>
    </xf>
    <xf numFmtId="0" fontId="48" fillId="0" borderId="481" xfId="1" applyFont="1" applyFill="1" applyBorder="1" applyAlignment="1">
      <alignment vertical="center"/>
    </xf>
    <xf numFmtId="3" fontId="46" fillId="0" borderId="89" xfId="1" applyNumberFormat="1" applyFont="1" applyFill="1" applyBorder="1" applyAlignment="1">
      <alignment horizontal="center" vertical="center"/>
    </xf>
    <xf numFmtId="0" fontId="82" fillId="11" borderId="383" xfId="15" applyFont="1" applyFill="1" applyBorder="1" applyAlignment="1">
      <alignment horizontal="left" vertical="center"/>
    </xf>
    <xf numFmtId="0" fontId="82" fillId="2" borderId="296" xfId="15" applyFont="1" applyFill="1" applyBorder="1" applyAlignment="1">
      <alignment horizontal="left" vertical="center"/>
    </xf>
    <xf numFmtId="0" fontId="82" fillId="0" borderId="614" xfId="15" quotePrefix="1" applyFont="1" applyFill="1" applyBorder="1" applyAlignment="1">
      <alignment horizontal="left" vertical="center"/>
    </xf>
    <xf numFmtId="0" fontId="82" fillId="17" borderId="618" xfId="15" applyFont="1" applyFill="1" applyBorder="1" applyAlignment="1">
      <alignment horizontal="left" vertical="center"/>
    </xf>
    <xf numFmtId="0" fontId="82" fillId="17" borderId="613" xfId="15" applyFont="1" applyFill="1" applyBorder="1" applyAlignment="1">
      <alignment horizontal="left" vertical="center"/>
    </xf>
    <xf numFmtId="3" fontId="45" fillId="0" borderId="624" xfId="1" applyNumberFormat="1" applyFont="1" applyFill="1" applyBorder="1" applyAlignment="1">
      <alignment horizontal="center" vertical="center"/>
    </xf>
    <xf numFmtId="3" fontId="45" fillId="0" borderId="625" xfId="1" applyNumberFormat="1" applyFont="1" applyFill="1" applyBorder="1" applyAlignment="1">
      <alignment horizontal="center" vertical="center"/>
    </xf>
    <xf numFmtId="3" fontId="45" fillId="0" borderId="623" xfId="1" applyNumberFormat="1" applyFont="1" applyFill="1" applyBorder="1" applyAlignment="1">
      <alignment horizontal="center" vertical="center"/>
    </xf>
    <xf numFmtId="3" fontId="49" fillId="0" borderId="623" xfId="0" applyNumberFormat="1" applyFont="1" applyBorder="1" applyAlignment="1">
      <alignment horizontal="center" vertical="center"/>
    </xf>
    <xf numFmtId="3" fontId="41" fillId="0" borderId="22" xfId="1" applyNumberFormat="1" applyFont="1" applyFill="1" applyBorder="1" applyAlignment="1">
      <alignment horizontal="center" vertical="center"/>
    </xf>
    <xf numFmtId="3" fontId="41" fillId="0" borderId="72" xfId="1" applyNumberFormat="1" applyFont="1" applyFill="1" applyBorder="1" applyAlignment="1">
      <alignment horizontal="center" vertical="center"/>
    </xf>
    <xf numFmtId="0" fontId="23" fillId="28" borderId="32" xfId="1" applyFont="1" applyFill="1" applyBorder="1" applyAlignment="1">
      <alignment horizontal="center" vertical="center"/>
    </xf>
    <xf numFmtId="0" fontId="23" fillId="29" borderId="604" xfId="1" applyFont="1" applyFill="1" applyBorder="1" applyAlignment="1">
      <alignment horizontal="center" vertical="center"/>
    </xf>
    <xf numFmtId="0" fontId="23" fillId="46" borderId="32" xfId="1" applyFont="1" applyFill="1" applyBorder="1" applyAlignment="1">
      <alignment horizontal="center" vertical="center"/>
    </xf>
    <xf numFmtId="0" fontId="43" fillId="24" borderId="0" xfId="1" applyFont="1" applyFill="1" applyBorder="1" applyAlignment="1">
      <alignment horizontal="center" vertical="center"/>
    </xf>
    <xf numFmtId="0" fontId="23" fillId="47" borderId="377" xfId="1" applyFont="1" applyFill="1" applyBorder="1" applyAlignment="1">
      <alignment horizontal="center" vertical="center"/>
    </xf>
    <xf numFmtId="0" fontId="109" fillId="45" borderId="8" xfId="15" applyFont="1" applyFill="1" applyBorder="1" applyAlignment="1">
      <alignment horizontal="left" vertical="center"/>
    </xf>
    <xf numFmtId="0" fontId="115" fillId="35" borderId="610" xfId="1" applyFont="1" applyFill="1" applyBorder="1" applyAlignment="1">
      <alignment horizontal="left" vertical="center"/>
    </xf>
    <xf numFmtId="0" fontId="111" fillId="3" borderId="8" xfId="15" applyFont="1" applyFill="1" applyBorder="1" applyAlignment="1">
      <alignment horizontal="left" vertical="center"/>
    </xf>
    <xf numFmtId="0" fontId="112" fillId="5" borderId="0" xfId="15" applyFont="1" applyFill="1" applyBorder="1" applyAlignment="1">
      <alignment horizontal="left" vertical="center"/>
    </xf>
    <xf numFmtId="0" fontId="104" fillId="46" borderId="8" xfId="15" applyFont="1" applyFill="1" applyBorder="1" applyAlignment="1">
      <alignment horizontal="left" vertical="center"/>
    </xf>
    <xf numFmtId="0" fontId="63" fillId="61" borderId="8" xfId="15" applyFont="1" applyFill="1" applyBorder="1" applyAlignment="1">
      <alignment horizontal="left" vertical="center"/>
    </xf>
    <xf numFmtId="0" fontId="63" fillId="24" borderId="380" xfId="1" applyFont="1" applyFill="1" applyBorder="1" applyAlignment="1">
      <alignment horizontal="left" vertical="center"/>
    </xf>
    <xf numFmtId="0" fontId="63" fillId="52" borderId="0" xfId="1" applyFont="1" applyFill="1" applyBorder="1" applyAlignment="1">
      <alignment horizontal="left" vertical="center"/>
    </xf>
    <xf numFmtId="0" fontId="132" fillId="4" borderId="254" xfId="15" applyFont="1" applyFill="1" applyBorder="1" applyAlignment="1">
      <alignment horizontal="left" vertical="center"/>
    </xf>
    <xf numFmtId="166" fontId="104" fillId="4" borderId="8" xfId="15" applyNumberFormat="1" applyFont="1" applyFill="1" applyBorder="1" applyAlignment="1">
      <alignment horizontal="left" vertical="center"/>
    </xf>
    <xf numFmtId="0" fontId="73" fillId="4" borderId="0" xfId="1" applyFont="1" applyFill="1" applyBorder="1" applyAlignment="1">
      <alignment horizontal="left" vertical="center"/>
    </xf>
    <xf numFmtId="0" fontId="63" fillId="4" borderId="4" xfId="15" applyFont="1" applyFill="1" applyBorder="1" applyAlignment="1">
      <alignment horizontal="left" vertical="center"/>
    </xf>
    <xf numFmtId="0" fontId="104" fillId="4" borderId="287" xfId="15" applyFont="1" applyFill="1" applyBorder="1" applyAlignment="1">
      <alignment vertical="center"/>
    </xf>
    <xf numFmtId="0" fontId="2" fillId="4" borderId="287" xfId="1" applyFont="1" applyFill="1" applyBorder="1" applyAlignment="1">
      <alignment horizontal="left" vertical="center"/>
    </xf>
    <xf numFmtId="0" fontId="116" fillId="4" borderId="287" xfId="15" applyFont="1" applyFill="1" applyBorder="1" applyAlignment="1">
      <alignment horizontal="left" vertical="center"/>
    </xf>
    <xf numFmtId="0" fontId="112" fillId="4" borderId="8" xfId="15" applyFont="1" applyFill="1" applyBorder="1" applyAlignment="1">
      <alignment horizontal="left" vertical="center"/>
    </xf>
    <xf numFmtId="0" fontId="59" fillId="5" borderId="0" xfId="1" applyFont="1" applyFill="1" applyBorder="1" applyAlignment="1">
      <alignment horizontal="center" vertical="center"/>
    </xf>
    <xf numFmtId="0" fontId="59" fillId="5" borderId="8" xfId="1" applyFont="1" applyFill="1" applyBorder="1" applyAlignment="1">
      <alignment horizontal="center"/>
    </xf>
    <xf numFmtId="0" fontId="59" fillId="46" borderId="8" xfId="1" applyFont="1" applyFill="1" applyBorder="1" applyAlignment="1">
      <alignment horizontal="center" vertical="center"/>
    </xf>
    <xf numFmtId="0" fontId="59" fillId="24" borderId="380" xfId="1" applyFont="1" applyFill="1" applyBorder="1" applyAlignment="1">
      <alignment horizontal="center" vertical="center"/>
    </xf>
    <xf numFmtId="0" fontId="59" fillId="53" borderId="0" xfId="1" applyFont="1" applyFill="1" applyBorder="1" applyAlignment="1">
      <alignment horizontal="center" vertical="center"/>
    </xf>
    <xf numFmtId="0" fontId="59" fillId="4" borderId="8" xfId="1" applyFont="1" applyFill="1" applyBorder="1" applyAlignment="1">
      <alignment horizontal="center"/>
    </xf>
    <xf numFmtId="0" fontId="41" fillId="29" borderId="313" xfId="1" applyFont="1" applyFill="1" applyBorder="1" applyAlignment="1">
      <alignment horizontal="center" vertical="center"/>
    </xf>
    <xf numFmtId="3" fontId="41" fillId="55" borderId="326" xfId="1" applyNumberFormat="1" applyFont="1" applyFill="1" applyBorder="1" applyAlignment="1">
      <alignment horizontal="center" vertical="center"/>
    </xf>
    <xf numFmtId="3" fontId="41" fillId="51" borderId="356" xfId="1" applyNumberFormat="1" applyFont="1" applyFill="1" applyBorder="1" applyAlignment="1">
      <alignment horizontal="center" vertical="center"/>
    </xf>
    <xf numFmtId="3" fontId="41" fillId="39" borderId="0" xfId="1" applyNumberFormat="1" applyFont="1" applyFill="1" applyBorder="1" applyAlignment="1">
      <alignment horizontal="center" vertical="center"/>
    </xf>
    <xf numFmtId="3" fontId="41" fillId="46" borderId="313" xfId="1" applyNumberFormat="1" applyFont="1" applyFill="1" applyBorder="1" applyAlignment="1">
      <alignment horizontal="center" vertical="center"/>
    </xf>
    <xf numFmtId="0" fontId="41" fillId="24" borderId="313" xfId="1" applyFont="1" applyFill="1" applyBorder="1" applyAlignment="1">
      <alignment horizontal="center" vertical="center"/>
    </xf>
    <xf numFmtId="3" fontId="41" fillId="47" borderId="313" xfId="1" applyNumberFormat="1" applyFont="1" applyFill="1" applyBorder="1" applyAlignment="1">
      <alignment horizontal="center" vertical="center"/>
    </xf>
    <xf numFmtId="0" fontId="41" fillId="4" borderId="313" xfId="1" applyFont="1" applyFill="1" applyBorder="1" applyAlignment="1">
      <alignment horizontal="center" vertical="center"/>
    </xf>
    <xf numFmtId="3" fontId="17" fillId="29" borderId="8" xfId="1" applyNumberFormat="1" applyFont="1" applyFill="1" applyBorder="1" applyAlignment="1">
      <alignment horizontal="center" vertical="center"/>
    </xf>
    <xf numFmtId="3" fontId="39" fillId="45" borderId="556" xfId="1" applyNumberFormat="1" applyFont="1" applyFill="1" applyBorder="1" applyAlignment="1">
      <alignment horizontal="center" vertical="center"/>
    </xf>
    <xf numFmtId="3" fontId="39" fillId="3" borderId="0" xfId="1" applyNumberFormat="1" applyFont="1" applyFill="1" applyBorder="1" applyAlignment="1">
      <alignment horizontal="center" vertical="center"/>
    </xf>
    <xf numFmtId="3" fontId="17" fillId="3" borderId="8" xfId="1" applyNumberFormat="1" applyFont="1" applyFill="1" applyBorder="1" applyAlignment="1">
      <alignment horizontal="center" vertical="center"/>
    </xf>
    <xf numFmtId="3" fontId="39" fillId="46" borderId="8" xfId="1" applyNumberFormat="1" applyFont="1" applyFill="1" applyBorder="1" applyAlignment="1">
      <alignment horizontal="center" vertical="center"/>
    </xf>
    <xf numFmtId="3" fontId="17" fillId="24" borderId="0" xfId="1" applyNumberFormat="1" applyFont="1" applyFill="1" applyBorder="1" applyAlignment="1">
      <alignment horizontal="center" vertical="center"/>
    </xf>
    <xf numFmtId="3" fontId="39" fillId="24" borderId="8" xfId="1" applyNumberFormat="1" applyFont="1" applyFill="1" applyBorder="1" applyAlignment="1">
      <alignment horizontal="center" vertical="center"/>
    </xf>
    <xf numFmtId="3" fontId="41" fillId="24" borderId="386" xfId="1" applyNumberFormat="1" applyFont="1" applyFill="1" applyBorder="1" applyAlignment="1">
      <alignment horizontal="center" vertical="center"/>
    </xf>
    <xf numFmtId="3" fontId="17" fillId="25" borderId="368" xfId="1" applyNumberFormat="1" applyFont="1" applyFill="1" applyBorder="1" applyAlignment="1">
      <alignment horizontal="center" vertical="center"/>
    </xf>
    <xf numFmtId="3" fontId="37" fillId="24" borderId="367" xfId="1" applyNumberFormat="1" applyFont="1" applyFill="1" applyBorder="1" applyAlignment="1">
      <alignment horizontal="center" vertical="center"/>
    </xf>
    <xf numFmtId="3" fontId="39" fillId="24" borderId="391" xfId="1" applyNumberFormat="1" applyFont="1" applyFill="1" applyBorder="1" applyAlignment="1">
      <alignment horizontal="center" vertical="center"/>
    </xf>
    <xf numFmtId="3" fontId="17" fillId="24" borderId="319" xfId="1" applyNumberFormat="1" applyFont="1" applyFill="1" applyBorder="1" applyAlignment="1">
      <alignment horizontal="center" vertical="center"/>
    </xf>
    <xf numFmtId="3" fontId="17" fillId="53" borderId="326" xfId="1" applyNumberFormat="1" applyFont="1" applyFill="1" applyBorder="1" applyAlignment="1">
      <alignment horizontal="center" vertical="center"/>
    </xf>
    <xf numFmtId="3" fontId="39" fillId="4" borderId="18" xfId="1" applyNumberFormat="1" applyFont="1" applyFill="1" applyBorder="1" applyAlignment="1">
      <alignment horizontal="center" vertical="center"/>
    </xf>
    <xf numFmtId="3" fontId="39" fillId="4" borderId="345" xfId="1" applyNumberFormat="1" applyFont="1" applyFill="1" applyBorder="1" applyAlignment="1">
      <alignment horizontal="center" vertical="center"/>
    </xf>
    <xf numFmtId="3" fontId="39" fillId="4" borderId="4" xfId="1" applyNumberFormat="1" applyFont="1" applyFill="1" applyBorder="1" applyAlignment="1">
      <alignment horizontal="center" vertical="center"/>
    </xf>
    <xf numFmtId="3" fontId="17" fillId="4" borderId="337" xfId="1" applyNumberFormat="1" applyFont="1" applyFill="1" applyBorder="1" applyAlignment="1">
      <alignment horizontal="center" vertical="center"/>
    </xf>
    <xf numFmtId="3" fontId="17" fillId="29" borderId="164" xfId="1" applyNumberFormat="1" applyFont="1" applyFill="1" applyBorder="1" applyAlignment="1">
      <alignment horizontal="center" vertical="center"/>
    </xf>
    <xf numFmtId="3" fontId="39" fillId="3" borderId="164" xfId="1" applyNumberFormat="1" applyFont="1" applyFill="1" applyBorder="1" applyAlignment="1">
      <alignment horizontal="center" vertical="center"/>
    </xf>
    <xf numFmtId="3" fontId="39" fillId="46" borderId="164" xfId="1" applyNumberFormat="1" applyFont="1" applyFill="1" applyBorder="1" applyAlignment="1">
      <alignment horizontal="center" vertical="center"/>
    </xf>
    <xf numFmtId="3" fontId="39" fillId="24" borderId="368" xfId="1" applyNumberFormat="1" applyFont="1" applyFill="1" applyBorder="1" applyAlignment="1">
      <alignment horizontal="center" vertical="center" wrapText="1"/>
    </xf>
    <xf numFmtId="3" fontId="41" fillId="24" borderId="357" xfId="1" applyNumberFormat="1" applyFont="1" applyFill="1" applyBorder="1" applyAlignment="1">
      <alignment horizontal="center" vertical="center"/>
    </xf>
    <xf numFmtId="3" fontId="39" fillId="53" borderId="325" xfId="1" applyNumberFormat="1" applyFont="1" applyFill="1" applyBorder="1" applyAlignment="1">
      <alignment horizontal="center" vertical="center"/>
    </xf>
    <xf numFmtId="3" fontId="39" fillId="4" borderId="331" xfId="1" applyNumberFormat="1" applyFont="1" applyFill="1" applyBorder="1" applyAlignment="1">
      <alignment horizontal="center" vertical="center"/>
    </xf>
    <xf numFmtId="3" fontId="41" fillId="4" borderId="304" xfId="1" applyNumberFormat="1" applyFont="1" applyFill="1" applyBorder="1" applyAlignment="1">
      <alignment horizontal="center" vertical="center"/>
    </xf>
    <xf numFmtId="3" fontId="37" fillId="4" borderId="325" xfId="1" applyNumberFormat="1" applyFont="1" applyFill="1" applyBorder="1" applyAlignment="1">
      <alignment horizontal="center" vertical="center"/>
    </xf>
    <xf numFmtId="3" fontId="17" fillId="4" borderId="325" xfId="1" applyNumberFormat="1" applyFont="1" applyFill="1" applyBorder="1" applyAlignment="1">
      <alignment horizontal="center" vertical="center"/>
    </xf>
    <xf numFmtId="3" fontId="39" fillId="4" borderId="291" xfId="1" applyNumberFormat="1" applyFont="1" applyFill="1" applyBorder="1" applyAlignment="1">
      <alignment horizontal="center" vertical="center"/>
    </xf>
    <xf numFmtId="3" fontId="39" fillId="4" borderId="287" xfId="1" applyNumberFormat="1" applyFont="1" applyFill="1" applyBorder="1" applyAlignment="1">
      <alignment horizontal="center" vertical="center"/>
    </xf>
    <xf numFmtId="3" fontId="39" fillId="4" borderId="295" xfId="1" applyNumberFormat="1" applyFont="1" applyFill="1" applyBorder="1" applyAlignment="1">
      <alignment horizontal="center" vertical="center"/>
    </xf>
    <xf numFmtId="3" fontId="11" fillId="4" borderId="305" xfId="1" applyNumberFormat="1" applyFont="1" applyFill="1" applyBorder="1" applyAlignment="1">
      <alignment horizontal="center" vertical="center"/>
    </xf>
    <xf numFmtId="3" fontId="17" fillId="4" borderId="366" xfId="1" applyNumberFormat="1" applyFont="1" applyFill="1" applyBorder="1" applyAlignment="1">
      <alignment horizontal="center" vertical="center"/>
    </xf>
    <xf numFmtId="3" fontId="17" fillId="0" borderId="99" xfId="1" applyNumberFormat="1" applyFont="1" applyFill="1" applyBorder="1" applyAlignment="1">
      <alignment horizontal="center"/>
    </xf>
    <xf numFmtId="3" fontId="38" fillId="0" borderId="300" xfId="1" applyNumberFormat="1" applyFont="1" applyFill="1" applyBorder="1" applyAlignment="1">
      <alignment horizontal="center"/>
    </xf>
    <xf numFmtId="3" fontId="35" fillId="0" borderId="164" xfId="1" applyNumberFormat="1" applyFont="1" applyFill="1" applyBorder="1" applyAlignment="1">
      <alignment horizontal="center" vertical="center"/>
    </xf>
    <xf numFmtId="3" fontId="35" fillId="0" borderId="176" xfId="1" applyNumberFormat="1" applyFont="1" applyFill="1" applyBorder="1" applyAlignment="1">
      <alignment horizontal="center" vertical="center"/>
    </xf>
    <xf numFmtId="3" fontId="41" fillId="0" borderId="367" xfId="1" applyNumberFormat="1" applyFont="1" applyFill="1" applyBorder="1" applyAlignment="1">
      <alignment horizontal="center" vertical="center"/>
    </xf>
    <xf numFmtId="3" fontId="35" fillId="0" borderId="243" xfId="1" applyNumberFormat="1" applyFont="1" applyFill="1" applyBorder="1" applyAlignment="1">
      <alignment horizontal="center" vertical="center"/>
    </xf>
    <xf numFmtId="3" fontId="38" fillId="0" borderId="99" xfId="1" applyNumberFormat="1" applyFont="1" applyFill="1" applyBorder="1" applyAlignment="1">
      <alignment horizontal="center"/>
    </xf>
    <xf numFmtId="3" fontId="38" fillId="29" borderId="164" xfId="1" applyNumberFormat="1" applyFont="1" applyFill="1" applyBorder="1" applyAlignment="1">
      <alignment horizontal="left" vertical="center"/>
    </xf>
    <xf numFmtId="3" fontId="38" fillId="45" borderId="556" xfId="1" applyNumberFormat="1" applyFont="1" applyFill="1" applyBorder="1" applyAlignment="1">
      <alignment horizontal="left" vertical="center"/>
    </xf>
    <xf numFmtId="3" fontId="38" fillId="3" borderId="367" xfId="1" applyNumberFormat="1" applyFont="1" applyFill="1" applyBorder="1" applyAlignment="1">
      <alignment horizontal="left" vertical="center"/>
    </xf>
    <xf numFmtId="3" fontId="38" fillId="46" borderId="164" xfId="1" applyNumberFormat="1" applyFont="1" applyFill="1" applyBorder="1" applyAlignment="1">
      <alignment horizontal="left" vertical="center"/>
    </xf>
    <xf numFmtId="3" fontId="38" fillId="25" borderId="367" xfId="1" applyNumberFormat="1" applyFont="1" applyFill="1" applyBorder="1" applyAlignment="1">
      <alignment horizontal="left" vertical="center"/>
    </xf>
    <xf numFmtId="3" fontId="17" fillId="24" borderId="386" xfId="1" applyNumberFormat="1" applyFont="1" applyFill="1" applyBorder="1" applyAlignment="1">
      <alignment horizontal="left" vertical="center"/>
    </xf>
    <xf numFmtId="3" fontId="38" fillId="25" borderId="243" xfId="1" applyNumberFormat="1" applyFont="1" applyFill="1" applyBorder="1" applyAlignment="1">
      <alignment horizontal="left" vertical="center"/>
    </xf>
    <xf numFmtId="3" fontId="38" fillId="24" borderId="401" xfId="1" applyNumberFormat="1" applyFont="1" applyFill="1" applyBorder="1" applyAlignment="1">
      <alignment horizontal="left" vertical="center"/>
    </xf>
    <xf numFmtId="3" fontId="38" fillId="52" borderId="325" xfId="1" applyNumberFormat="1" applyFont="1" applyFill="1" applyBorder="1" applyAlignment="1">
      <alignment horizontal="left" vertical="center"/>
    </xf>
    <xf numFmtId="3" fontId="17" fillId="4" borderId="331" xfId="1" applyNumberFormat="1" applyFont="1" applyFill="1" applyBorder="1" applyAlignment="1">
      <alignment horizontal="left" vertical="center"/>
    </xf>
    <xf numFmtId="3" fontId="150" fillId="29" borderId="164" xfId="1" applyNumberFormat="1" applyFont="1" applyFill="1" applyBorder="1" applyAlignment="1">
      <alignment horizontal="center" vertical="center"/>
    </xf>
    <xf numFmtId="3" fontId="38" fillId="45" borderId="556" xfId="1" applyNumberFormat="1" applyFont="1" applyFill="1" applyBorder="1" applyAlignment="1">
      <alignment horizontal="center" vertical="center"/>
    </xf>
    <xf numFmtId="3" fontId="38" fillId="3" borderId="367" xfId="1" applyNumberFormat="1" applyFont="1" applyFill="1" applyBorder="1" applyAlignment="1">
      <alignment horizontal="center" vertical="center"/>
    </xf>
    <xf numFmtId="3" fontId="38" fillId="35" borderId="367" xfId="1" applyNumberFormat="1" applyFont="1" applyFill="1" applyBorder="1" applyAlignment="1">
      <alignment horizontal="center" vertical="center"/>
    </xf>
    <xf numFmtId="3" fontId="38" fillId="5" borderId="164" xfId="1" applyNumberFormat="1" applyFont="1" applyFill="1" applyBorder="1" applyAlignment="1">
      <alignment horizontal="center" vertical="center"/>
    </xf>
    <xf numFmtId="3" fontId="150" fillId="5" borderId="367" xfId="1" applyNumberFormat="1" applyFont="1" applyFill="1" applyBorder="1" applyAlignment="1">
      <alignment horizontal="center" vertical="center"/>
    </xf>
    <xf numFmtId="3" fontId="38" fillId="46" borderId="164" xfId="1" applyNumberFormat="1" applyFont="1" applyFill="1" applyBorder="1" applyAlignment="1">
      <alignment horizontal="center" vertical="center"/>
    </xf>
    <xf numFmtId="3" fontId="38" fillId="25" borderId="367" xfId="1" applyNumberFormat="1" applyFont="1" applyFill="1" applyBorder="1" applyAlignment="1">
      <alignment horizontal="center" vertical="center"/>
    </xf>
    <xf numFmtId="3" fontId="17" fillId="24" borderId="176" xfId="1" applyNumberFormat="1" applyFont="1" applyFill="1" applyBorder="1" applyAlignment="1">
      <alignment horizontal="center" vertical="center"/>
    </xf>
    <xf numFmtId="3" fontId="150" fillId="24" borderId="368" xfId="1" applyNumberFormat="1" applyFont="1" applyFill="1" applyBorder="1" applyAlignment="1">
      <alignment horizontal="center" vertical="center"/>
    </xf>
    <xf numFmtId="3" fontId="150" fillId="25" borderId="243" xfId="1" applyNumberFormat="1" applyFont="1" applyFill="1" applyBorder="1" applyAlignment="1">
      <alignment horizontal="center" vertical="center"/>
    </xf>
    <xf numFmtId="3" fontId="38" fillId="52" borderId="325" xfId="1" applyNumberFormat="1" applyFont="1" applyFill="1" applyBorder="1" applyAlignment="1">
      <alignment horizontal="center" vertical="center"/>
    </xf>
    <xf numFmtId="3" fontId="150" fillId="4" borderId="243" xfId="1" applyNumberFormat="1" applyFont="1" applyFill="1" applyBorder="1" applyAlignment="1">
      <alignment horizontal="center" vertical="center"/>
    </xf>
    <xf numFmtId="3" fontId="150" fillId="4" borderId="301" xfId="1" applyNumberFormat="1" applyFont="1" applyFill="1" applyBorder="1" applyAlignment="1">
      <alignment horizontal="center" vertical="center"/>
    </xf>
    <xf numFmtId="3" fontId="17" fillId="4" borderId="459" xfId="1" applyNumberFormat="1" applyFont="1" applyFill="1" applyBorder="1" applyAlignment="1">
      <alignment horizontal="center" vertical="center"/>
    </xf>
    <xf numFmtId="0" fontId="17" fillId="29" borderId="164" xfId="1" applyFont="1" applyFill="1" applyBorder="1" applyAlignment="1">
      <alignment horizontal="center" vertical="center"/>
    </xf>
    <xf numFmtId="0" fontId="17" fillId="45" borderId="556" xfId="1" applyFont="1" applyFill="1" applyBorder="1" applyAlignment="1">
      <alignment horizontal="center" vertical="center"/>
    </xf>
    <xf numFmtId="0" fontId="17" fillId="3" borderId="367" xfId="1" applyFont="1" applyFill="1" applyBorder="1" applyAlignment="1">
      <alignment horizontal="center" vertical="center"/>
    </xf>
    <xf numFmtId="0" fontId="17" fillId="46" borderId="164" xfId="1" applyFont="1" applyFill="1" applyBorder="1" applyAlignment="1">
      <alignment horizontal="center" vertical="center"/>
    </xf>
    <xf numFmtId="0" fontId="17" fillId="25" borderId="367" xfId="1" applyFont="1" applyFill="1" applyBorder="1" applyAlignment="1">
      <alignment horizontal="center" vertical="center"/>
    </xf>
    <xf numFmtId="0" fontId="150" fillId="24" borderId="176" xfId="1" applyFont="1" applyFill="1" applyBorder="1" applyAlignment="1">
      <alignment horizontal="center" vertical="center"/>
    </xf>
    <xf numFmtId="0" fontId="17" fillId="25" borderId="243" xfId="1" applyFont="1" applyFill="1" applyBorder="1" applyAlignment="1">
      <alignment horizontal="center" vertical="center"/>
    </xf>
    <xf numFmtId="0" fontId="17" fillId="24" borderId="401" xfId="1" applyFont="1" applyFill="1" applyBorder="1" applyAlignment="1">
      <alignment horizontal="center" vertical="center"/>
    </xf>
    <xf numFmtId="0" fontId="17" fillId="52" borderId="325" xfId="1" applyFont="1" applyFill="1" applyBorder="1" applyAlignment="1">
      <alignment horizontal="center" vertical="center"/>
    </xf>
    <xf numFmtId="0" fontId="150" fillId="4" borderId="491" xfId="1" applyFont="1" applyFill="1" applyBorder="1" applyAlignment="1">
      <alignment horizontal="center" vertical="center"/>
    </xf>
    <xf numFmtId="172" fontId="38" fillId="29" borderId="164" xfId="1" applyNumberFormat="1" applyFont="1" applyFill="1" applyBorder="1" applyAlignment="1">
      <alignment horizontal="center" vertical="center"/>
    </xf>
    <xf numFmtId="172" fontId="38" fillId="45" borderId="556" xfId="1" applyNumberFormat="1" applyFont="1" applyFill="1" applyBorder="1" applyAlignment="1">
      <alignment horizontal="center" vertical="center"/>
    </xf>
    <xf numFmtId="172" fontId="38" fillId="3" borderId="367" xfId="1" applyNumberFormat="1" applyFont="1" applyFill="1" applyBorder="1" applyAlignment="1">
      <alignment horizontal="center" vertical="center"/>
    </xf>
    <xf numFmtId="172" fontId="33" fillId="5" borderId="164" xfId="1" applyNumberFormat="1" applyFont="1" applyFill="1" applyBorder="1" applyAlignment="1">
      <alignment horizontal="center" vertical="center"/>
    </xf>
    <xf numFmtId="172" fontId="17" fillId="46" borderId="164" xfId="1" applyNumberFormat="1" applyFont="1" applyFill="1" applyBorder="1" applyAlignment="1">
      <alignment horizontal="center" vertical="center"/>
    </xf>
    <xf numFmtId="172" fontId="38" fillId="24" borderId="176" xfId="1" applyNumberFormat="1" applyFont="1" applyFill="1" applyBorder="1" applyAlignment="1">
      <alignment horizontal="center" vertical="center"/>
    </xf>
    <xf numFmtId="172" fontId="38" fillId="25" borderId="367" xfId="1" applyNumberFormat="1" applyFont="1" applyFill="1" applyBorder="1" applyAlignment="1">
      <alignment horizontal="center" vertical="center"/>
    </xf>
    <xf numFmtId="172" fontId="17" fillId="24" borderId="386" xfId="1" applyNumberFormat="1" applyFont="1" applyFill="1" applyBorder="1" applyAlignment="1">
      <alignment horizontal="center" vertical="center"/>
    </xf>
    <xf numFmtId="172" fontId="38" fillId="25" borderId="243" xfId="1" applyNumberFormat="1" applyFont="1" applyFill="1" applyBorder="1" applyAlignment="1">
      <alignment horizontal="center" vertical="center"/>
    </xf>
    <xf numFmtId="172" fontId="38" fillId="24" borderId="401" xfId="1" applyNumberFormat="1" applyFont="1" applyFill="1" applyBorder="1" applyAlignment="1">
      <alignment horizontal="center" vertical="center"/>
    </xf>
    <xf numFmtId="172" fontId="38" fillId="52" borderId="325" xfId="1" applyNumberFormat="1" applyFont="1" applyFill="1" applyBorder="1" applyAlignment="1">
      <alignment horizontal="center" vertical="center"/>
    </xf>
    <xf numFmtId="172" fontId="17" fillId="4" borderId="331" xfId="1" applyNumberFormat="1" applyFont="1" applyFill="1" applyBorder="1" applyAlignment="1">
      <alignment horizontal="center" vertical="center"/>
    </xf>
    <xf numFmtId="14" fontId="38" fillId="29" borderId="164" xfId="1" applyNumberFormat="1" applyFont="1" applyFill="1" applyBorder="1" applyAlignment="1">
      <alignment horizontal="center" vertical="center"/>
    </xf>
    <xf numFmtId="14" fontId="38" fillId="45" borderId="556" xfId="1" applyNumberFormat="1" applyFont="1" applyFill="1" applyBorder="1" applyAlignment="1">
      <alignment horizontal="center" vertical="center"/>
    </xf>
    <xf numFmtId="14" fontId="38" fillId="3" borderId="367" xfId="1" applyNumberFormat="1" applyFont="1" applyFill="1" applyBorder="1" applyAlignment="1">
      <alignment horizontal="center" vertical="center"/>
    </xf>
    <xf numFmtId="14" fontId="38" fillId="35" borderId="561" xfId="1" applyNumberFormat="1" applyFont="1" applyFill="1" applyBorder="1" applyAlignment="1">
      <alignment horizontal="center" vertical="center"/>
    </xf>
    <xf numFmtId="14" fontId="38" fillId="35" borderId="367" xfId="1" quotePrefix="1" applyNumberFormat="1" applyFont="1" applyFill="1" applyBorder="1" applyAlignment="1">
      <alignment horizontal="center" vertical="center"/>
    </xf>
    <xf numFmtId="14" fontId="38" fillId="46" borderId="164" xfId="1" applyNumberFormat="1" applyFont="1" applyFill="1" applyBorder="1" applyAlignment="1">
      <alignment horizontal="center" vertical="center"/>
    </xf>
    <xf numFmtId="14" fontId="38" fillId="25" borderId="367" xfId="1" applyNumberFormat="1" applyFont="1" applyFill="1" applyBorder="1" applyAlignment="1">
      <alignment horizontal="center" vertical="center"/>
    </xf>
    <xf numFmtId="14" fontId="38" fillId="25" borderId="243" xfId="1" applyNumberFormat="1" applyFont="1" applyFill="1" applyBorder="1" applyAlignment="1">
      <alignment horizontal="center" vertical="center"/>
    </xf>
    <xf numFmtId="14" fontId="17" fillId="24" borderId="368" xfId="1" applyNumberFormat="1" applyFont="1" applyFill="1" applyBorder="1" applyAlignment="1">
      <alignment horizontal="center" vertical="center"/>
    </xf>
    <xf numFmtId="14" fontId="38" fillId="24" borderId="401" xfId="1" applyNumberFormat="1" applyFont="1" applyFill="1" applyBorder="1" applyAlignment="1">
      <alignment horizontal="center" vertical="center"/>
    </xf>
    <xf numFmtId="14" fontId="38" fillId="52" borderId="325" xfId="1" applyNumberFormat="1" applyFont="1" applyFill="1" applyBorder="1" applyAlignment="1">
      <alignment horizontal="center" vertical="center"/>
    </xf>
    <xf numFmtId="14" fontId="17" fillId="4" borderId="331" xfId="1" applyNumberFormat="1" applyFont="1" applyFill="1" applyBorder="1" applyAlignment="1">
      <alignment horizontal="center" vertical="center"/>
    </xf>
    <xf numFmtId="14" fontId="38" fillId="29" borderId="313" xfId="1" applyNumberFormat="1" applyFont="1" applyFill="1" applyBorder="1" applyAlignment="1">
      <alignment horizontal="center" vertical="center"/>
    </xf>
    <xf numFmtId="14" fontId="38" fillId="45" borderId="556" xfId="1" quotePrefix="1" applyNumberFormat="1" applyFont="1" applyFill="1" applyBorder="1" applyAlignment="1">
      <alignment horizontal="center" vertical="center"/>
    </xf>
    <xf numFmtId="14" fontId="38" fillId="3" borderId="319" xfId="1" applyNumberFormat="1" applyFont="1" applyFill="1" applyBorder="1" applyAlignment="1">
      <alignment horizontal="center" vertical="center"/>
    </xf>
    <xf numFmtId="14" fontId="38" fillId="35" borderId="319" xfId="1" quotePrefix="1" applyNumberFormat="1" applyFont="1" applyFill="1" applyBorder="1" applyAlignment="1">
      <alignment horizontal="center" vertical="center"/>
    </xf>
    <xf numFmtId="14" fontId="38" fillId="46" borderId="313" xfId="1" applyNumberFormat="1" applyFont="1" applyFill="1" applyBorder="1" applyAlignment="1">
      <alignment horizontal="center" vertical="center"/>
    </xf>
    <xf numFmtId="14" fontId="17" fillId="24" borderId="313" xfId="1" applyNumberFormat="1" applyFont="1" applyFill="1" applyBorder="1" applyAlignment="1">
      <alignment horizontal="center" vertical="center"/>
    </xf>
    <xf numFmtId="14" fontId="38" fillId="4" borderId="347" xfId="1" quotePrefix="1" applyNumberFormat="1" applyFont="1" applyFill="1" applyBorder="1" applyAlignment="1">
      <alignment horizontal="center" vertical="center"/>
    </xf>
    <xf numFmtId="14" fontId="38" fillId="4" borderId="331" xfId="1" quotePrefix="1" applyNumberFormat="1" applyFont="1" applyFill="1" applyBorder="1" applyAlignment="1">
      <alignment horizontal="center" vertical="center"/>
    </xf>
    <xf numFmtId="2" fontId="38" fillId="45" borderId="393" xfId="1" applyNumberFormat="1" applyFont="1" applyFill="1" applyBorder="1" applyAlignment="1">
      <alignment horizontal="center" vertical="center"/>
    </xf>
    <xf numFmtId="2" fontId="38" fillId="3" borderId="388" xfId="1" applyNumberFormat="1" applyFont="1" applyFill="1" applyBorder="1" applyAlignment="1">
      <alignment horizontal="center" vertical="center"/>
    </xf>
    <xf numFmtId="2" fontId="38" fillId="46" borderId="393" xfId="1" applyNumberFormat="1" applyFont="1" applyFill="1" applyBorder="1" applyAlignment="1">
      <alignment horizontal="center" vertical="center"/>
    </xf>
    <xf numFmtId="2" fontId="38" fillId="53" borderId="318" xfId="1" applyNumberFormat="1" applyFont="1" applyFill="1" applyBorder="1" applyAlignment="1">
      <alignment horizontal="center" vertical="center"/>
    </xf>
    <xf numFmtId="2" fontId="17" fillId="4" borderId="306" xfId="1" applyNumberFormat="1" applyFont="1" applyFill="1" applyBorder="1" applyAlignment="1">
      <alignment horizontal="center" vertical="center"/>
    </xf>
    <xf numFmtId="0" fontId="73" fillId="56" borderId="0" xfId="1" applyFont="1" applyFill="1" applyBorder="1" applyAlignment="1">
      <alignment horizontal="left" vertical="center"/>
    </xf>
    <xf numFmtId="0" fontId="82" fillId="17" borderId="598" xfId="15" quotePrefix="1" applyFont="1" applyFill="1" applyBorder="1" applyAlignment="1">
      <alignment horizontal="left" vertical="center"/>
    </xf>
    <xf numFmtId="0" fontId="82" fillId="17" borderId="570" xfId="15" applyFont="1" applyFill="1" applyBorder="1" applyAlignment="1">
      <alignment horizontal="left" vertical="center"/>
    </xf>
    <xf numFmtId="0" fontId="45" fillId="0" borderId="614" xfId="15" applyFont="1" applyFill="1" applyBorder="1" applyAlignment="1">
      <alignment horizontal="left" vertical="center"/>
    </xf>
    <xf numFmtId="3" fontId="133" fillId="0" borderId="5" xfId="15" applyNumberFormat="1" applyFont="1" applyFill="1" applyBorder="1" applyAlignment="1">
      <alignment horizontal="left" vertical="center"/>
    </xf>
    <xf numFmtId="0" fontId="82" fillId="17" borderId="558" xfId="15" quotePrefix="1" applyFont="1" applyFill="1" applyBorder="1" applyAlignment="1">
      <alignment horizontal="left" vertical="center"/>
    </xf>
    <xf numFmtId="0" fontId="46" fillId="0" borderId="557" xfId="1" applyFont="1" applyFill="1" applyBorder="1" applyAlignment="1">
      <alignment horizontal="center" vertical="center"/>
    </xf>
    <xf numFmtId="0" fontId="82" fillId="0" borderId="626" xfId="15" applyFont="1" applyFill="1" applyBorder="1" applyAlignment="1">
      <alignment horizontal="left" vertical="center"/>
    </xf>
    <xf numFmtId="173" fontId="46" fillId="0" borderId="0" xfId="1" applyNumberFormat="1" applyFont="1" applyFill="1" applyBorder="1" applyAlignment="1">
      <alignment horizontal="center" vertical="center"/>
    </xf>
    <xf numFmtId="0" fontId="82" fillId="11" borderId="526" xfId="15" applyFont="1" applyFill="1" applyBorder="1" applyAlignment="1">
      <alignment horizontal="left" vertical="center"/>
    </xf>
    <xf numFmtId="3" fontId="70" fillId="0" borderId="0" xfId="1" applyNumberFormat="1" applyFont="1" applyFill="1" applyBorder="1" applyAlignment="1">
      <alignment horizontal="center"/>
    </xf>
    <xf numFmtId="3" fontId="17" fillId="0" borderId="0" xfId="1" applyNumberFormat="1" applyFont="1" applyFill="1" applyBorder="1" applyAlignment="1">
      <alignment horizontal="center" vertical="center" wrapText="1"/>
    </xf>
    <xf numFmtId="0" fontId="63" fillId="0" borderId="0" xfId="0" applyFont="1" applyAlignment="1">
      <alignment horizontal="center" wrapText="1"/>
    </xf>
    <xf numFmtId="3" fontId="70" fillId="0" borderId="0" xfId="1" applyNumberFormat="1" applyFont="1" applyFill="1" applyBorder="1" applyAlignment="1">
      <alignment horizontal="center" vertical="center"/>
    </xf>
    <xf numFmtId="0" fontId="49" fillId="0" borderId="0" xfId="0" applyFont="1" applyAlignment="1">
      <alignment horizontal="center" vertical="center"/>
    </xf>
    <xf numFmtId="0" fontId="49" fillId="0" borderId="0" xfId="0" applyFont="1" applyAlignment="1">
      <alignment horizontal="center"/>
    </xf>
    <xf numFmtId="0" fontId="49" fillId="0" borderId="0" xfId="0" applyFont="1" applyBorder="1" applyAlignment="1">
      <alignment horizontal="center" vertical="center"/>
    </xf>
    <xf numFmtId="0" fontId="27" fillId="0" borderId="0" xfId="1" applyFont="1" applyFill="1" applyAlignment="1">
      <alignment horizontal="center" vertical="center"/>
    </xf>
    <xf numFmtId="0" fontId="28" fillId="0" borderId="0" xfId="0" applyFont="1" applyAlignment="1">
      <alignment horizontal="center" vertical="center"/>
    </xf>
    <xf numFmtId="0" fontId="15" fillId="0" borderId="15" xfId="1" applyFont="1" applyFill="1" applyBorder="1" applyAlignment="1">
      <alignment horizontal="center" vertical="center" wrapText="1"/>
    </xf>
    <xf numFmtId="0" fontId="15" fillId="0" borderId="259" xfId="1" applyFont="1" applyFill="1" applyBorder="1" applyAlignment="1">
      <alignment horizontal="center" vertical="center" wrapText="1"/>
    </xf>
    <xf numFmtId="0" fontId="15" fillId="0" borderId="299" xfId="1" applyFont="1" applyFill="1" applyBorder="1" applyAlignment="1">
      <alignment horizontal="center" vertical="center" wrapText="1"/>
    </xf>
    <xf numFmtId="0" fontId="17" fillId="0" borderId="64" xfId="1" applyFont="1" applyBorder="1" applyAlignment="1">
      <alignment horizontal="center" vertical="center" wrapText="1"/>
    </xf>
    <xf numFmtId="0" fontId="17" fillId="0" borderId="55" xfId="1" applyFont="1" applyBorder="1" applyAlignment="1">
      <alignment horizontal="center" vertical="center" wrapText="1"/>
    </xf>
    <xf numFmtId="0" fontId="13" fillId="0" borderId="14" xfId="1" applyFont="1" applyFill="1" applyBorder="1" applyAlignment="1">
      <alignment horizontal="center" vertical="center"/>
    </xf>
    <xf numFmtId="0" fontId="13" fillId="0" borderId="12" xfId="1" applyFont="1" applyFill="1" applyBorder="1" applyAlignment="1">
      <alignment horizontal="center" vertical="center"/>
    </xf>
    <xf numFmtId="0" fontId="13" fillId="0" borderId="13" xfId="1" applyFont="1" applyFill="1" applyBorder="1" applyAlignment="1">
      <alignment horizontal="center" vertical="center"/>
    </xf>
    <xf numFmtId="0" fontId="38" fillId="0" borderId="15" xfId="1" applyFont="1" applyFill="1" applyBorder="1" applyAlignment="1">
      <alignment horizontal="center" vertical="center" wrapText="1"/>
    </xf>
    <xf numFmtId="0" fontId="0" fillId="0" borderId="386" xfId="0" applyBorder="1" applyAlignment="1">
      <alignment horizontal="center" vertical="center" wrapText="1"/>
    </xf>
    <xf numFmtId="166" fontId="13" fillId="0" borderId="16" xfId="1" applyNumberFormat="1" applyFont="1" applyFill="1" applyBorder="1" applyAlignment="1">
      <alignment horizontal="center" vertical="center" wrapText="1"/>
    </xf>
    <xf numFmtId="0" fontId="36" fillId="0" borderId="100" xfId="0" applyFont="1" applyBorder="1" applyAlignment="1">
      <alignment horizontal="center" vertical="center" wrapText="1"/>
    </xf>
    <xf numFmtId="0" fontId="36" fillId="0" borderId="20" xfId="0" applyFont="1" applyBorder="1" applyAlignment="1">
      <alignment horizontal="center" vertical="center" wrapText="1"/>
    </xf>
    <xf numFmtId="166" fontId="13" fillId="0" borderId="15" xfId="1" applyNumberFormat="1" applyFont="1" applyFill="1" applyBorder="1" applyAlignment="1">
      <alignment horizontal="center" vertical="center" wrapText="1"/>
    </xf>
    <xf numFmtId="166" fontId="33" fillId="0" borderId="15" xfId="1" applyNumberFormat="1" applyFont="1" applyFill="1" applyBorder="1" applyAlignment="1">
      <alignment horizontal="center" vertical="center" wrapText="1"/>
    </xf>
    <xf numFmtId="0" fontId="17" fillId="0" borderId="63" xfId="1" applyFont="1" applyBorder="1" applyAlignment="1">
      <alignment horizontal="center" vertical="center" wrapText="1"/>
    </xf>
    <xf numFmtId="0" fontId="20" fillId="0" borderId="0" xfId="1" applyFont="1" applyFill="1" applyBorder="1" applyAlignment="1">
      <alignment horizontal="center" vertical="center" shrinkToFit="1"/>
    </xf>
    <xf numFmtId="0" fontId="15" fillId="0" borderId="300" xfId="1" applyFont="1" applyFill="1" applyBorder="1" applyAlignment="1">
      <alignment horizontal="center" vertical="center" wrapText="1"/>
    </xf>
    <xf numFmtId="0" fontId="17" fillId="0" borderId="300" xfId="1" applyFont="1" applyBorder="1" applyAlignment="1">
      <alignment horizontal="center" vertical="center" wrapText="1"/>
    </xf>
    <xf numFmtId="0" fontId="17" fillId="0" borderId="299" xfId="1" applyFont="1" applyBorder="1" applyAlignment="1">
      <alignment horizontal="center" vertical="center" wrapText="1"/>
    </xf>
    <xf numFmtId="0" fontId="38" fillId="0" borderId="12" xfId="1" applyFont="1" applyFill="1" applyBorder="1" applyAlignment="1">
      <alignment horizontal="center" vertical="center" wrapText="1"/>
    </xf>
    <xf numFmtId="0" fontId="143" fillId="0" borderId="0" xfId="0" applyFont="1" applyAlignment="1">
      <alignment horizontal="center" vertical="center" wrapText="1"/>
    </xf>
    <xf numFmtId="0" fontId="17" fillId="0" borderId="304" xfId="1" applyFont="1" applyBorder="1" applyAlignment="1">
      <alignment horizontal="center" vertical="center" wrapText="1"/>
    </xf>
    <xf numFmtId="0" fontId="36" fillId="0" borderId="262" xfId="0" applyFont="1" applyBorder="1" applyAlignment="1">
      <alignment horizontal="center" vertical="center" wrapText="1"/>
    </xf>
    <xf numFmtId="0" fontId="36" fillId="0" borderId="306" xfId="0" applyFont="1" applyBorder="1" applyAlignment="1">
      <alignment horizontal="center" vertical="center" wrapText="1"/>
    </xf>
    <xf numFmtId="0" fontId="54" fillId="0" borderId="65" xfId="1" applyFont="1" applyFill="1" applyBorder="1" applyAlignment="1">
      <alignment horizontal="left" vertical="center"/>
    </xf>
    <xf numFmtId="0" fontId="56" fillId="0" borderId="65" xfId="0" applyFont="1" applyBorder="1" applyAlignment="1">
      <alignment horizontal="left" vertical="center"/>
    </xf>
    <xf numFmtId="0" fontId="35" fillId="0" borderId="358" xfId="1" applyFont="1" applyFill="1" applyBorder="1" applyAlignment="1">
      <alignment horizontal="center" vertical="center" wrapText="1"/>
    </xf>
    <xf numFmtId="0" fontId="17" fillId="0" borderId="325" xfId="0" applyFont="1" applyBorder="1" applyAlignment="1">
      <alignment vertical="center" wrapText="1"/>
    </xf>
    <xf numFmtId="0" fontId="17" fillId="0" borderId="304" xfId="0" applyFont="1" applyBorder="1" applyAlignment="1">
      <alignment vertical="center" wrapText="1"/>
    </xf>
    <xf numFmtId="0" fontId="74" fillId="0" borderId="352" xfId="1" applyFont="1" applyFill="1" applyBorder="1" applyAlignment="1">
      <alignment horizontal="center" vertical="center" wrapText="1"/>
    </xf>
    <xf numFmtId="0" fontId="63" fillId="0" borderId="322" xfId="0" applyFont="1" applyBorder="1" applyAlignment="1">
      <alignment horizontal="center" vertical="center" wrapText="1"/>
    </xf>
    <xf numFmtId="0" fontId="63" fillId="0" borderId="353" xfId="0" applyFont="1" applyBorder="1" applyAlignment="1">
      <alignment horizontal="center" vertical="center" wrapText="1"/>
    </xf>
    <xf numFmtId="0" fontId="17" fillId="0" borderId="359" xfId="0" applyFont="1" applyBorder="1" applyAlignment="1">
      <alignment vertical="center" wrapText="1"/>
    </xf>
    <xf numFmtId="3" fontId="70" fillId="0" borderId="0" xfId="1" applyNumberFormat="1" applyFont="1" applyFill="1" applyBorder="1" applyAlignment="1">
      <alignment horizontal="left"/>
    </xf>
    <xf numFmtId="0" fontId="49" fillId="0" borderId="0" xfId="0" applyFont="1" applyAlignment="1">
      <alignment horizontal="left"/>
    </xf>
    <xf numFmtId="0" fontId="49" fillId="0" borderId="0" xfId="0" applyFont="1" applyBorder="1" applyAlignment="1">
      <alignment horizontal="left"/>
    </xf>
    <xf numFmtId="0" fontId="51" fillId="0" borderId="519" xfId="1" applyFont="1" applyFill="1" applyBorder="1" applyAlignment="1">
      <alignment horizontal="center" vertical="center" wrapText="1"/>
    </xf>
    <xf numFmtId="0" fontId="49" fillId="0" borderId="522" xfId="0" applyFont="1" applyBorder="1" applyAlignment="1">
      <alignment horizontal="center" vertical="center" wrapText="1"/>
    </xf>
    <xf numFmtId="0" fontId="49" fillId="0" borderId="523" xfId="0" applyFont="1" applyBorder="1" applyAlignment="1">
      <alignment vertical="center" wrapText="1"/>
    </xf>
    <xf numFmtId="0" fontId="51" fillId="0" borderId="520" xfId="1" applyFont="1" applyFill="1" applyBorder="1" applyAlignment="1">
      <alignment horizontal="center" vertical="center" wrapText="1"/>
    </xf>
    <xf numFmtId="0" fontId="49" fillId="0" borderId="509" xfId="0" applyFont="1" applyBorder="1" applyAlignment="1">
      <alignment vertical="center" wrapText="1"/>
    </xf>
    <xf numFmtId="0" fontId="49" fillId="0" borderId="508" xfId="0" applyFont="1" applyBorder="1" applyAlignment="1">
      <alignment vertical="center" wrapText="1"/>
    </xf>
    <xf numFmtId="0" fontId="54" fillId="0" borderId="506" xfId="1" applyFont="1" applyFill="1" applyBorder="1" applyAlignment="1">
      <alignment horizontal="left" vertical="center"/>
    </xf>
    <xf numFmtId="0" fontId="56" fillId="0" borderId="506" xfId="0" applyFont="1" applyBorder="1" applyAlignment="1">
      <alignment horizontal="left" vertical="center"/>
    </xf>
    <xf numFmtId="0" fontId="51" fillId="0" borderId="364" xfId="1" applyFont="1" applyFill="1" applyBorder="1" applyAlignment="1">
      <alignment horizontal="center" vertical="center" wrapText="1"/>
    </xf>
    <xf numFmtId="0" fontId="49" fillId="0" borderId="320" xfId="0" applyFont="1" applyBorder="1" applyAlignment="1">
      <alignment horizontal="center" vertical="center" wrapText="1"/>
    </xf>
    <xf numFmtId="0" fontId="49" fillId="0" borderId="350" xfId="0" applyFont="1" applyBorder="1" applyAlignment="1">
      <alignment vertical="center" wrapText="1"/>
    </xf>
    <xf numFmtId="0" fontId="51" fillId="0" borderId="358" xfId="1" applyFont="1" applyFill="1" applyBorder="1" applyAlignment="1">
      <alignment horizontal="center" vertical="center" wrapText="1"/>
    </xf>
    <xf numFmtId="0" fontId="49" fillId="0" borderId="325" xfId="0" applyFont="1" applyBorder="1" applyAlignment="1">
      <alignment vertical="center" wrapText="1"/>
    </xf>
    <xf numFmtId="0" fontId="49" fillId="0" borderId="304" xfId="0" applyFont="1" applyBorder="1" applyAlignment="1">
      <alignment vertical="center" wrapText="1"/>
    </xf>
    <xf numFmtId="3" fontId="70" fillId="0" borderId="0" xfId="1" applyNumberFormat="1" applyFont="1" applyFill="1" applyBorder="1" applyAlignment="1">
      <alignment horizontal="left" vertical="center"/>
    </xf>
    <xf numFmtId="0" fontId="49" fillId="0" borderId="0" xfId="0" applyFont="1" applyBorder="1" applyAlignment="1">
      <alignment horizontal="left" vertical="center"/>
    </xf>
    <xf numFmtId="0" fontId="51" fillId="0" borderId="407" xfId="1" applyFont="1" applyFill="1" applyBorder="1" applyAlignment="1">
      <alignment horizontal="center" vertical="center" wrapText="1"/>
    </xf>
    <xf numFmtId="0" fontId="49" fillId="0" borderId="409" xfId="0" applyFont="1" applyBorder="1" applyAlignment="1">
      <alignment horizontal="center" vertical="center" wrapText="1"/>
    </xf>
    <xf numFmtId="0" fontId="49" fillId="0" borderId="410" xfId="0" applyFont="1" applyBorder="1" applyAlignment="1">
      <alignment vertical="center" wrapText="1"/>
    </xf>
    <xf numFmtId="3" fontId="82" fillId="0" borderId="48" xfId="15" applyNumberFormat="1" applyFont="1" applyFill="1" applyBorder="1" applyAlignment="1">
      <alignment horizontal="left" vertical="center"/>
    </xf>
    <xf numFmtId="0" fontId="82" fillId="0" borderId="49" xfId="15" applyFont="1" applyBorder="1" applyAlignment="1">
      <alignment vertical="center"/>
    </xf>
    <xf numFmtId="3" fontId="82" fillId="0" borderId="218" xfId="15" applyNumberFormat="1" applyFont="1" applyFill="1" applyBorder="1" applyAlignment="1">
      <alignment horizontal="left" vertical="center"/>
    </xf>
    <xf numFmtId="0" fontId="82" fillId="0" borderId="351" xfId="15" applyFont="1" applyBorder="1" applyAlignment="1">
      <alignment vertical="center"/>
    </xf>
    <xf numFmtId="0" fontId="82" fillId="0" borderId="212" xfId="15" applyFont="1" applyBorder="1" applyAlignment="1">
      <alignment vertical="center"/>
    </xf>
    <xf numFmtId="3" fontId="82" fillId="0" borderId="366" xfId="15" applyNumberFormat="1" applyFont="1" applyFill="1" applyBorder="1" applyAlignment="1">
      <alignment horizontal="left" vertical="center"/>
    </xf>
    <xf numFmtId="0" fontId="82" fillId="0" borderId="369" xfId="15" applyFont="1" applyBorder="1" applyAlignment="1">
      <alignment vertical="center"/>
    </xf>
    <xf numFmtId="0" fontId="70" fillId="0" borderId="0" xfId="1" applyFont="1" applyFill="1" applyBorder="1" applyAlignment="1">
      <alignment horizontal="left" vertical="center"/>
    </xf>
    <xf numFmtId="0" fontId="49" fillId="0" borderId="0" xfId="0" applyFont="1" applyAlignment="1">
      <alignment vertical="center"/>
    </xf>
    <xf numFmtId="0" fontId="63" fillId="0" borderId="366" xfId="1" applyFont="1" applyFill="1" applyBorder="1" applyAlignment="1">
      <alignment horizontal="center" vertical="center"/>
    </xf>
    <xf numFmtId="0" fontId="63" fillId="0" borderId="8" xfId="1" applyFont="1" applyBorder="1" applyAlignment="1">
      <alignment horizontal="center" vertical="center"/>
    </xf>
    <xf numFmtId="0" fontId="63" fillId="0" borderId="356" xfId="1" applyFont="1" applyBorder="1" applyAlignment="1">
      <alignment horizontal="center" vertical="center"/>
    </xf>
    <xf numFmtId="0" fontId="63" fillId="0" borderId="372" xfId="1" applyFont="1" applyBorder="1" applyAlignment="1">
      <alignment horizontal="center" vertical="center"/>
    </xf>
    <xf numFmtId="0" fontId="70" fillId="0" borderId="0" xfId="1" applyFont="1" applyFill="1" applyBorder="1" applyAlignment="1">
      <alignment horizontal="center" vertical="center"/>
    </xf>
    <xf numFmtId="0" fontId="63" fillId="19" borderId="39" xfId="1" applyFont="1" applyFill="1" applyBorder="1" applyAlignment="1">
      <alignment horizontal="center" vertical="center"/>
    </xf>
    <xf numFmtId="0" fontId="63" fillId="0" borderId="115" xfId="1" applyFont="1" applyBorder="1" applyAlignment="1">
      <alignment horizontal="center" vertical="center"/>
    </xf>
    <xf numFmtId="0" fontId="63" fillId="0" borderId="39" xfId="1" applyFont="1" applyFill="1" applyBorder="1" applyAlignment="1">
      <alignment horizontal="center" vertical="center"/>
    </xf>
    <xf numFmtId="0" fontId="63" fillId="0" borderId="483" xfId="1" applyFont="1" applyBorder="1" applyAlignment="1">
      <alignment horizontal="center" vertical="center"/>
    </xf>
    <xf numFmtId="0" fontId="63" fillId="0" borderId="93" xfId="1" applyFont="1" applyBorder="1" applyAlignment="1">
      <alignment horizontal="center" vertical="center"/>
    </xf>
    <xf numFmtId="174" fontId="16" fillId="0" borderId="0" xfId="1" applyNumberFormat="1" applyFont="1" applyFill="1" applyAlignment="1">
      <alignment horizontal="left"/>
    </xf>
    <xf numFmtId="0" fontId="49" fillId="0" borderId="0" xfId="0" applyFont="1" applyAlignment="1"/>
    <xf numFmtId="0" fontId="72" fillId="0" borderId="420" xfId="1" applyFont="1" applyFill="1" applyBorder="1" applyAlignment="1">
      <alignment horizontal="center" vertical="center"/>
    </xf>
    <xf numFmtId="0" fontId="63" fillId="0" borderId="327" xfId="1" applyFont="1" applyBorder="1" applyAlignment="1">
      <alignment horizontal="center" vertical="center"/>
    </xf>
    <xf numFmtId="0" fontId="104" fillId="0" borderId="420" xfId="15" applyFont="1" applyFill="1" applyBorder="1" applyAlignment="1">
      <alignment horizontal="center" vertical="center"/>
    </xf>
    <xf numFmtId="0" fontId="63" fillId="19" borderId="366" xfId="1" applyFont="1" applyFill="1" applyBorder="1" applyAlignment="1">
      <alignment horizontal="center" vertical="center"/>
    </xf>
    <xf numFmtId="0" fontId="140" fillId="0" borderId="495" xfId="1" applyFont="1" applyFill="1" applyBorder="1" applyAlignment="1">
      <alignment horizontal="center" vertical="center" wrapText="1"/>
    </xf>
    <xf numFmtId="0" fontId="141" fillId="0" borderId="396" xfId="1" applyFont="1" applyBorder="1" applyAlignment="1">
      <alignment horizontal="center" vertical="center" wrapText="1"/>
    </xf>
    <xf numFmtId="0" fontId="141" fillId="0" borderId="420" xfId="1" applyFont="1" applyBorder="1" applyAlignment="1">
      <alignment horizontal="center" vertical="center" wrapText="1"/>
    </xf>
    <xf numFmtId="0" fontId="141" fillId="0" borderId="327" xfId="1" applyFont="1" applyBorder="1" applyAlignment="1">
      <alignment horizontal="center" vertical="center" wrapText="1"/>
    </xf>
    <xf numFmtId="0" fontId="74" fillId="0" borderId="39" xfId="1" applyFont="1" applyFill="1" applyBorder="1" applyAlignment="1">
      <alignment horizontal="right" vertical="center"/>
    </xf>
    <xf numFmtId="0" fontId="0" fillId="0" borderId="115" xfId="0" applyBorder="1" applyAlignment="1">
      <alignment horizontal="right" vertical="center"/>
    </xf>
  </cellXfs>
  <cellStyles count="18">
    <cellStyle name="Euro" xfId="2"/>
    <cellStyle name="Hyperlink 2" xfId="16"/>
    <cellStyle name="Hyperlink 4" xfId="17"/>
    <cellStyle name="Link" xfId="15" builtinId="8"/>
    <cellStyle name="Normal 2" xfId="3"/>
    <cellStyle name="Normal 2 2" xfId="4"/>
    <cellStyle name="Normal 3" xfId="5"/>
    <cellStyle name="Normal 3 2" xfId="6"/>
    <cellStyle name="Normal 3 2 2" xfId="7"/>
    <cellStyle name="Normal 4" xfId="8"/>
    <cellStyle name="Normal 5" xfId="9"/>
    <cellStyle name="Normal 6" xfId="10"/>
    <cellStyle name="Normal 7" xfId="11"/>
    <cellStyle name="Prozent 2" xfId="12"/>
    <cellStyle name="Standard" xfId="0" builtinId="0"/>
    <cellStyle name="Standard 2" xfId="1"/>
    <cellStyle name="Standard 3" xfId="13"/>
    <cellStyle name="Standard 4" xfId="14"/>
  </cellStyles>
  <dxfs count="206"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 patternType="solid">
          <fgColor indexed="34"/>
          <bgColor rgb="FFFFFF00"/>
        </patternFill>
      </fill>
    </dxf>
    <dxf>
      <font>
        <b/>
        <i val="0"/>
      </font>
      <fill>
        <patternFill patternType="solid">
          <fgColor indexed="34"/>
          <bgColor rgb="FFFFFF00"/>
        </patternFill>
      </fill>
    </dxf>
    <dxf>
      <font>
        <b/>
        <i val="0"/>
      </font>
      <fill>
        <patternFill patternType="solid">
          <fgColor indexed="34"/>
          <bgColor rgb="FFFFFF00"/>
        </patternFill>
      </fill>
    </dxf>
    <dxf>
      <font>
        <b/>
        <i val="0"/>
      </font>
      <fill>
        <patternFill patternType="solid">
          <fgColor indexed="34"/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</dxf>
    <dxf>
      <font>
        <b/>
        <i val="0"/>
      </font>
      <fill>
        <patternFill>
          <bgColor rgb="FFFFFF00"/>
        </patternFill>
      </fill>
    </dxf>
    <dxf>
      <font>
        <b/>
        <i val="0"/>
      </font>
    </dxf>
    <dxf>
      <font>
        <b/>
        <i val="0"/>
      </font>
      <fill>
        <patternFill>
          <bgColor rgb="FFFFFF00"/>
        </patternFill>
      </fill>
    </dxf>
    <dxf>
      <font>
        <b/>
        <i val="0"/>
      </font>
    </dxf>
    <dxf>
      <font>
        <b/>
        <i val="0"/>
      </font>
      <fill>
        <patternFill>
          <bgColor rgb="FFFFFF00"/>
        </patternFill>
      </fill>
    </dxf>
    <dxf>
      <font>
        <b/>
        <i val="0"/>
      </font>
    </dxf>
    <dxf>
      <font>
        <b/>
        <i val="0"/>
      </font>
      <fill>
        <patternFill>
          <bgColor rgb="FFFFFF00"/>
        </patternFill>
      </fill>
    </dxf>
    <dxf>
      <font>
        <b/>
        <i val="0"/>
      </font>
    </dxf>
    <dxf>
      <font>
        <b/>
        <i val="0"/>
      </font>
      <fill>
        <patternFill>
          <bgColor rgb="FFFFFF00"/>
        </patternFill>
      </fill>
    </dxf>
    <dxf>
      <font>
        <b/>
        <i val="0"/>
      </font>
    </dxf>
    <dxf>
      <font>
        <b/>
        <i val="0"/>
      </font>
      <fill>
        <patternFill>
          <bgColor rgb="FFFFFF00"/>
        </patternFill>
      </fill>
    </dxf>
    <dxf>
      <font>
        <b/>
        <i val="0"/>
      </font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numFmt numFmtId="3" formatCode="#,##0"/>
      <fill>
        <patternFill>
          <bgColor rgb="FFFFFF00"/>
        </patternFill>
      </fill>
    </dxf>
    <dxf>
      <font>
        <b/>
        <i val="0"/>
      </font>
    </dxf>
    <dxf>
      <font>
        <b/>
        <i val="0"/>
      </font>
      <fill>
        <patternFill>
          <bgColor rgb="FFFFFF00"/>
        </patternFill>
      </fill>
    </dxf>
    <dxf>
      <font>
        <b/>
        <i val="0"/>
      </font>
    </dxf>
    <dxf>
      <font>
        <b/>
        <i val="0"/>
      </font>
      <fill>
        <patternFill>
          <bgColor rgb="FFFFFF00"/>
        </patternFill>
      </fill>
    </dxf>
    <dxf>
      <font>
        <b/>
        <i val="0"/>
      </font>
    </dxf>
    <dxf>
      <font>
        <b/>
        <i val="0"/>
      </font>
      <fill>
        <patternFill>
          <bgColor rgb="FFFFFF00"/>
        </patternFill>
      </fill>
    </dxf>
    <dxf>
      <font>
        <b/>
        <i val="0"/>
      </font>
    </dxf>
    <dxf>
      <font>
        <b/>
        <i val="0"/>
      </font>
      <fill>
        <patternFill>
          <bgColor rgb="FFFFFF00"/>
        </patternFill>
      </fill>
    </dxf>
    <dxf>
      <font>
        <b/>
        <i val="0"/>
      </font>
    </dxf>
    <dxf>
      <font>
        <b/>
        <i val="0"/>
      </font>
      <fill>
        <patternFill>
          <bgColor rgb="FFFFFF00"/>
        </patternFill>
      </fill>
    </dxf>
    <dxf>
      <font>
        <b/>
        <i val="0"/>
      </font>
    </dxf>
    <dxf>
      <font>
        <b/>
        <i val="0"/>
      </font>
      <fill>
        <patternFill>
          <bgColor rgb="FFFFFF00"/>
        </patternFill>
      </fill>
    </dxf>
    <dxf>
      <font>
        <b/>
        <i val="0"/>
      </font>
    </dxf>
    <dxf>
      <font>
        <b/>
        <i val="0"/>
      </font>
      <fill>
        <patternFill>
          <bgColor rgb="FFFFFF00"/>
        </patternFill>
      </fill>
    </dxf>
    <dxf>
      <font>
        <b/>
        <i val="0"/>
      </font>
    </dxf>
    <dxf>
      <font>
        <b/>
        <i val="0"/>
      </font>
      <fill>
        <patternFill>
          <bgColor rgb="FFFFFF00"/>
        </patternFill>
      </fill>
    </dxf>
    <dxf>
      <font>
        <b/>
        <i val="0"/>
      </font>
    </dxf>
    <dxf>
      <font>
        <b/>
        <i val="0"/>
      </font>
      <fill>
        <patternFill>
          <bgColor rgb="FFFFFF00"/>
        </patternFill>
      </fill>
    </dxf>
    <dxf>
      <font>
        <b/>
        <i val="0"/>
      </font>
    </dxf>
    <dxf>
      <font>
        <b/>
        <i val="0"/>
      </font>
      <fill>
        <patternFill>
          <bgColor rgb="FFFFFF00"/>
        </patternFill>
      </fill>
    </dxf>
    <dxf>
      <font>
        <b/>
        <i val="0"/>
      </font>
    </dxf>
    <dxf>
      <font>
        <b/>
        <i val="0"/>
      </font>
      <fill>
        <patternFill>
          <bgColor rgb="FFFFFF00"/>
        </patternFill>
      </fill>
    </dxf>
    <dxf>
      <font>
        <b/>
        <i val="0"/>
      </font>
    </dxf>
    <dxf>
      <font>
        <b/>
        <i val="0"/>
      </font>
      <fill>
        <patternFill>
          <bgColor rgb="FFFFFF00"/>
        </patternFill>
      </fill>
    </dxf>
    <dxf>
      <font>
        <b/>
        <i val="0"/>
      </font>
    </dxf>
    <dxf>
      <font>
        <b/>
        <i val="0"/>
      </font>
      <fill>
        <patternFill>
          <bgColor rgb="FFFFFF00"/>
        </patternFill>
      </fill>
    </dxf>
    <dxf>
      <font>
        <b/>
        <i val="0"/>
      </font>
    </dxf>
    <dxf>
      <font>
        <b/>
        <i val="0"/>
      </font>
      <fill>
        <patternFill>
          <bgColor rgb="FFFFFF00"/>
        </patternFill>
      </fill>
    </dxf>
    <dxf>
      <font>
        <b/>
        <i val="0"/>
      </font>
    </dxf>
    <dxf>
      <font>
        <b/>
        <i val="0"/>
      </font>
      <fill>
        <patternFill>
          <bgColor rgb="FFFFFF00"/>
        </patternFill>
      </fill>
    </dxf>
    <dxf>
      <font>
        <b/>
        <i val="0"/>
      </font>
    </dxf>
    <dxf>
      <font>
        <b/>
        <i val="0"/>
      </font>
      <fill>
        <patternFill>
          <bgColor rgb="FFFFFF00"/>
        </patternFill>
      </fill>
    </dxf>
    <dxf>
      <font>
        <b/>
        <i val="0"/>
      </font>
    </dxf>
    <dxf>
      <font>
        <b/>
        <i val="0"/>
      </font>
      <fill>
        <patternFill>
          <bgColor rgb="FFFFFF00"/>
        </patternFill>
      </fill>
    </dxf>
    <dxf>
      <font>
        <b/>
        <i val="0"/>
      </font>
    </dxf>
    <dxf>
      <font>
        <b/>
        <i val="0"/>
      </font>
      <fill>
        <patternFill>
          <bgColor rgb="FFFFFF00"/>
        </patternFill>
      </fill>
    </dxf>
    <dxf>
      <font>
        <b/>
        <i val="0"/>
      </font>
    </dxf>
    <dxf>
      <font>
        <b/>
        <i val="0"/>
      </font>
      <fill>
        <patternFill>
          <bgColor rgb="FFFFFF00"/>
        </patternFill>
      </fill>
    </dxf>
    <dxf>
      <font>
        <b/>
        <i val="0"/>
      </font>
    </dxf>
    <dxf>
      <font>
        <b/>
        <i val="0"/>
      </font>
      <fill>
        <patternFill>
          <bgColor rgb="FFFFFF00"/>
        </patternFill>
      </fill>
    </dxf>
    <dxf>
      <font>
        <b/>
        <i val="0"/>
      </font>
    </dxf>
    <dxf>
      <font>
        <b/>
        <i val="0"/>
      </font>
      <fill>
        <patternFill>
          <bgColor rgb="FFFFFF00"/>
        </patternFill>
      </fill>
    </dxf>
    <dxf>
      <font>
        <b/>
        <i val="0"/>
      </font>
    </dxf>
    <dxf>
      <font>
        <b/>
        <i val="0"/>
      </font>
      <fill>
        <patternFill>
          <bgColor rgb="FFFFFF00"/>
        </patternFill>
      </fill>
    </dxf>
    <dxf>
      <font>
        <b/>
        <i val="0"/>
      </font>
    </dxf>
    <dxf>
      <font>
        <b/>
        <i val="0"/>
      </font>
      <fill>
        <patternFill>
          <bgColor rgb="FFFFFF00"/>
        </patternFill>
      </fill>
    </dxf>
    <dxf>
      <font>
        <b/>
        <i val="0"/>
      </font>
    </dxf>
    <dxf>
      <font>
        <b/>
        <i val="0"/>
      </font>
      <fill>
        <patternFill>
          <bgColor rgb="FFFFFF00"/>
        </patternFill>
      </fill>
    </dxf>
    <dxf>
      <font>
        <b/>
        <i val="0"/>
      </font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</dxf>
    <dxf>
      <font>
        <b/>
        <i val="0"/>
      </font>
      <fill>
        <patternFill>
          <bgColor rgb="FFFFFF00"/>
        </patternFill>
      </fill>
    </dxf>
    <dxf>
      <font>
        <b/>
        <i val="0"/>
      </font>
    </dxf>
    <dxf>
      <font>
        <b/>
        <i val="0"/>
      </font>
      <fill>
        <patternFill>
          <bgColor rgb="FFFFFF00"/>
        </patternFill>
      </fill>
    </dxf>
    <dxf>
      <font>
        <b/>
        <i val="0"/>
      </font>
    </dxf>
    <dxf>
      <font>
        <b/>
        <i val="0"/>
      </font>
      <fill>
        <patternFill>
          <bgColor rgb="FFFFFF00"/>
        </patternFill>
      </fill>
    </dxf>
    <dxf>
      <font>
        <b/>
        <i val="0"/>
      </font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</dxf>
    <dxf>
      <font>
        <b/>
        <i val="0"/>
      </font>
      <fill>
        <patternFill>
          <bgColor rgb="FFFFFF00"/>
        </patternFill>
      </fill>
    </dxf>
    <dxf>
      <font>
        <b/>
        <i val="0"/>
      </font>
    </dxf>
    <dxf>
      <font>
        <b/>
        <i val="0"/>
      </font>
      <fill>
        <patternFill>
          <bgColor rgb="FFFFFF00"/>
        </patternFill>
      </fill>
    </dxf>
    <dxf>
      <font>
        <b/>
        <i val="0"/>
      </font>
    </dxf>
    <dxf>
      <font>
        <b/>
        <i val="0"/>
      </font>
      <fill>
        <patternFill>
          <bgColor rgb="FFFFFF00"/>
        </patternFill>
      </fill>
    </dxf>
    <dxf>
      <font>
        <b/>
        <i val="0"/>
      </font>
    </dxf>
    <dxf>
      <font>
        <b/>
        <i val="0"/>
      </font>
      <fill>
        <patternFill>
          <bgColor rgb="FFFFFF00"/>
        </patternFill>
      </fill>
    </dxf>
    <dxf>
      <font>
        <b/>
        <i val="0"/>
      </font>
    </dxf>
    <dxf>
      <font>
        <b/>
        <i val="0"/>
      </font>
      <fill>
        <patternFill>
          <bgColor rgb="FFFFFF00"/>
        </patternFill>
      </fill>
    </dxf>
    <dxf>
      <font>
        <b/>
        <i val="0"/>
      </font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</dxf>
    <dxf>
      <font>
        <b/>
        <i val="0"/>
      </font>
      <fill>
        <patternFill>
          <bgColor rgb="FFFFFF00"/>
        </patternFill>
      </fill>
    </dxf>
    <dxf>
      <font>
        <b/>
        <i val="0"/>
      </font>
    </dxf>
    <dxf>
      <font>
        <b/>
        <i val="0"/>
      </font>
      <fill>
        <patternFill>
          <bgColor rgb="FFFFFF00"/>
        </patternFill>
      </fill>
    </dxf>
    <dxf>
      <font>
        <b/>
        <i val="0"/>
      </font>
    </dxf>
    <dxf>
      <font>
        <b/>
        <i val="0"/>
      </font>
      <fill>
        <patternFill>
          <bgColor rgb="FFFFFF00"/>
        </patternFill>
      </fill>
    </dxf>
    <dxf>
      <font>
        <b/>
        <i val="0"/>
      </font>
    </dxf>
    <dxf>
      <font>
        <b/>
        <i val="0"/>
      </font>
      <fill>
        <patternFill>
          <bgColor rgb="FFFFFF00"/>
        </patternFill>
      </fill>
    </dxf>
    <dxf>
      <font>
        <b/>
        <i val="0"/>
      </font>
    </dxf>
    <dxf>
      <font>
        <b/>
        <i val="0"/>
      </font>
      <fill>
        <patternFill>
          <bgColor rgb="FFFFFF00"/>
        </patternFill>
      </fill>
    </dxf>
    <dxf>
      <font>
        <b/>
        <i val="0"/>
      </font>
    </dxf>
    <dxf>
      <font>
        <b/>
        <i val="0"/>
      </font>
      <fill>
        <patternFill>
          <bgColor rgb="FFFFFF00"/>
        </patternFill>
      </fill>
    </dxf>
    <dxf>
      <font>
        <b/>
        <i val="0"/>
      </font>
    </dxf>
    <dxf>
      <font>
        <b/>
        <i val="0"/>
      </font>
      <fill>
        <patternFill>
          <bgColor rgb="FFFFFF00"/>
        </patternFill>
      </fill>
    </dxf>
    <dxf>
      <font>
        <b/>
        <i val="0"/>
      </font>
    </dxf>
    <dxf>
      <font>
        <b/>
        <i val="0"/>
      </font>
      <fill>
        <patternFill>
          <bgColor rgb="FFFFFF00"/>
        </patternFill>
      </fill>
    </dxf>
    <dxf>
      <font>
        <b/>
        <i val="0"/>
      </font>
    </dxf>
    <dxf>
      <font>
        <b/>
        <i val="0"/>
      </font>
      <fill>
        <patternFill patternType="none">
          <bgColor auto="1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</dxf>
    <dxf>
      <font>
        <b/>
        <i val="0"/>
      </font>
      <fill>
        <patternFill>
          <bgColor rgb="FFFFFF00"/>
        </patternFill>
      </fill>
    </dxf>
    <dxf>
      <font>
        <b/>
        <i val="0"/>
      </font>
    </dxf>
    <dxf>
      <font>
        <b/>
        <i val="0"/>
      </font>
      <fill>
        <patternFill>
          <bgColor rgb="FFFFFF00"/>
        </patternFill>
      </fill>
    </dxf>
    <dxf>
      <font>
        <b/>
        <i val="0"/>
      </font>
    </dxf>
    <dxf>
      <font>
        <b/>
        <i val="0"/>
      </font>
      <fill>
        <patternFill>
          <bgColor rgb="FFFFFF00"/>
        </patternFill>
      </fill>
    </dxf>
    <dxf>
      <font>
        <b/>
        <i val="0"/>
      </font>
    </dxf>
    <dxf>
      <font>
        <b/>
        <i val="0"/>
      </font>
      <fill>
        <patternFill>
          <bgColor rgb="FFFFFF00"/>
        </patternFill>
      </fill>
    </dxf>
    <dxf>
      <font>
        <b/>
        <i val="0"/>
      </font>
    </dxf>
    <dxf>
      <font>
        <b/>
        <i val="0"/>
      </font>
      <fill>
        <patternFill>
          <bgColor rgb="FFFFFF00"/>
        </patternFill>
      </fill>
    </dxf>
    <dxf>
      <font>
        <b/>
        <i val="0"/>
      </font>
    </dxf>
    <dxf>
      <font>
        <b/>
        <i val="0"/>
      </font>
      <fill>
        <patternFill>
          <bgColor rgb="FFFFFF00"/>
        </patternFill>
      </fill>
    </dxf>
    <dxf>
      <font>
        <b/>
        <i val="0"/>
      </font>
    </dxf>
  </dxfs>
  <tableStyles count="0" defaultTableStyle="TableStyleMedium9" defaultPivotStyle="PivotStyleLight16"/>
  <colors>
    <mruColors>
      <color rgb="FF008000"/>
      <color rgb="FFFFCC00"/>
      <color rgb="FFFFE0C1"/>
      <color rgb="FFFFFF99"/>
      <color rgb="FFBDFFBD"/>
      <color rgb="FFF8696B"/>
      <color rgb="FF63BE7B"/>
      <color rgb="FFFFEB84"/>
      <color rgb="FF0033CC"/>
      <color rgb="FF0000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iagrams/colors1.xml><?xml version="1.0" encoding="utf-8"?>
<dgm:colorsDef xmlns:dgm="http://schemas.openxmlformats.org/drawingml/2006/diagram" xmlns:a="http://schemas.openxmlformats.org/drawingml/2006/main" uniqueId="urn:microsoft.com/office/officeart/2005/8/colors/accent1_2">
  <dgm:title val=""/>
  <dgm:desc val=""/>
  <dgm:catLst>
    <dgm:cat type="accent1" pri="11200"/>
  </dgm:catLst>
  <dgm:styleLbl name="node0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lignNode1">
    <dgm:fillClrLst meth="repeat">
      <a:schemeClr val="accent1"/>
    </dgm:fillClrLst>
    <dgm:linClrLst meth="repeat">
      <a:schemeClr val="accent1"/>
    </dgm:linClrLst>
    <dgm:effectClrLst/>
    <dgm:txLinClrLst/>
    <dgm:txFillClrLst/>
    <dgm:txEffectClrLst/>
  </dgm:styleLbl>
  <dgm:styleLbl name="node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lnNode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vennNode1">
    <dgm:fillClrLst meth="repeat">
      <a:schemeClr val="accent1">
        <a:alpha val="50000"/>
      </a:schemeClr>
    </dgm:fillClrLst>
    <dgm:linClrLst meth="repeat">
      <a:schemeClr val="lt1"/>
    </dgm:linClrLst>
    <dgm:effectClrLst/>
    <dgm:txLinClrLst/>
    <dgm:txFillClrLst/>
    <dgm:txEffectClrLst/>
  </dgm:styleLbl>
  <dgm:styleLbl name="node2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node3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node4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fg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align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bg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fg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bg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sibTrans1D1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tx1"/>
    </dgm:txFillClrLst>
    <dgm:txEffectClrLst/>
  </dgm:styleLbl>
  <dgm:styleLbl name="callout">
    <dgm:fillClrLst meth="repeat">
      <a:schemeClr val="accent1"/>
    </dgm:fillClrLst>
    <dgm:linClrLst meth="repeat">
      <a:schemeClr val="accent1">
        <a:tint val="50000"/>
      </a:schemeClr>
    </dgm:linClrLst>
    <dgm:effectClrLst/>
    <dgm:txLinClrLst/>
    <dgm:txFillClrLst meth="repeat">
      <a:schemeClr val="tx1"/>
    </dgm:txFillClrLst>
    <dgm:txEffectClrLst/>
  </dgm:styleLbl>
  <dgm:styleLbl name="asst0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2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3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4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parCh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 meth="repeat">
      <a:schemeClr val="lt1"/>
    </dgm:txFillClrLst>
    <dgm:txEffectClrLst/>
  </dgm:styleLbl>
  <dgm:styleLbl name="parChTrans2D2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2D3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2D4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1D1">
    <dgm:fillClrLst meth="repeat">
      <a:schemeClr val="accent1"/>
    </dgm:fillClrLst>
    <dgm:linClrLst meth="repeat">
      <a:schemeClr val="accent1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2">
    <dgm:fillClrLst meth="repeat">
      <a:schemeClr val="accent1"/>
    </dgm:fillClrLst>
    <dgm:linClrLst meth="repeat">
      <a:schemeClr val="accent1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3">
    <dgm:fillClrLst meth="repeat">
      <a:schemeClr val="accent1"/>
    </dgm:fillClrLst>
    <dgm:linClrLst meth="repeat">
      <a:schemeClr val="accent1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parChTrans1D4">
    <dgm:fillClrLst meth="repeat">
      <a:schemeClr val="accent1"/>
    </dgm:fillClrLst>
    <dgm:linClrLst meth="repeat">
      <a:schemeClr val="accent1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f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conF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align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trAlignAcc1">
    <dgm:fillClrLst meth="repeat">
      <a:schemeClr val="lt1">
        <a:alpha val="4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b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Fg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Align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Bg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align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bg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fgAcc0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2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3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4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bgShp">
    <dgm:fillClrLst meth="repeat">
      <a:schemeClr val="accent1">
        <a:tint val="4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dkBgShp">
    <dgm:fillClrLst meth="repeat">
      <a:schemeClr val="accent1">
        <a:shade val="80000"/>
      </a:schemeClr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trBgShp">
    <dgm:fillClrLst meth="repeat">
      <a:schemeClr val="accent1">
        <a:tint val="50000"/>
        <a:alpha val="40000"/>
      </a:schemeClr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fgShp">
    <dgm:fillClrLst meth="repeat">
      <a:schemeClr val="accent1">
        <a:tint val="60000"/>
      </a:schemeClr>
    </dgm:fillClrLst>
    <dgm:linClrLst meth="repeat">
      <a:schemeClr val="lt1"/>
    </dgm:linClrLst>
    <dgm:effectClrLst/>
    <dgm:txLinClrLst/>
    <dgm:txFillClrLst meth="repeat">
      <a:schemeClr val="dk1"/>
    </dgm:txFillClrLst>
    <dgm:txEffectClrLst/>
  </dgm:styleLbl>
  <dgm:styleLbl name="revTx">
    <dgm:fillClrLst meth="repeat">
      <a:schemeClr val="lt1">
        <a:alpha val="0"/>
      </a:schemeClr>
    </dgm:fillClrLst>
    <dgm:linClrLst meth="repeat">
      <a:schemeClr val="dk1">
        <a:alpha val="0"/>
      </a:schemeClr>
    </dgm:linClrLst>
    <dgm:effectClrLst/>
    <dgm:txLinClrLst/>
    <dgm:txFillClrLst meth="repeat">
      <a:schemeClr val="tx1"/>
    </dgm:txFillClrLst>
    <dgm:txEffectClrLst/>
  </dgm:styleLbl>
</dgm:colorsDef>
</file>

<file path=xl/diagrams/data1.xml><?xml version="1.0" encoding="utf-8"?>
<dgm:dataModel xmlns:dgm="http://schemas.openxmlformats.org/drawingml/2006/diagram" xmlns:a="http://schemas.openxmlformats.org/drawingml/2006/main">
  <dgm:ptLst>
    <dgm:pt modelId="{2A2AD1C8-4DE5-4D56-A12F-64D7DC2B1273}" type="doc">
      <dgm:prSet loTypeId="urn:microsoft.com/office/officeart/2005/8/layout/hierarchy2" loCatId="hierarchy" qsTypeId="urn:microsoft.com/office/officeart/2005/8/quickstyle/simple1" qsCatId="simple" csTypeId="urn:microsoft.com/office/officeart/2005/8/colors/accent1_2" csCatId="accent1" phldr="1"/>
      <dgm:spPr/>
      <dgm:t>
        <a:bodyPr/>
        <a:lstStyle/>
        <a:p>
          <a:endParaRPr lang="de-DE"/>
        </a:p>
      </dgm:t>
    </dgm:pt>
    <dgm:pt modelId="{44816AC2-6026-425C-9F35-882D4B6BA39C}">
      <dgm:prSet phldrT="[Text]"/>
      <dgm:spPr/>
      <dgm:t>
        <a:bodyPr/>
        <a:lstStyle/>
        <a:p>
          <a:r>
            <a:rPr lang="de-DE"/>
            <a:t>deduplication</a:t>
          </a:r>
        </a:p>
      </dgm:t>
    </dgm:pt>
    <dgm:pt modelId="{85BE70C2-0A7C-416C-B80A-B4E8E29E5671}" type="parTrans" cxnId="{373F00AB-0B0B-4BA8-8C42-493A8006CDC2}">
      <dgm:prSet/>
      <dgm:spPr/>
      <dgm:t>
        <a:bodyPr/>
        <a:lstStyle/>
        <a:p>
          <a:endParaRPr lang="de-DE"/>
        </a:p>
      </dgm:t>
    </dgm:pt>
    <dgm:pt modelId="{1FBCA0AF-6376-4D56-9243-2CAE6A6E9646}" type="sibTrans" cxnId="{373F00AB-0B0B-4BA8-8C42-493A8006CDC2}">
      <dgm:prSet/>
      <dgm:spPr/>
      <dgm:t>
        <a:bodyPr/>
        <a:lstStyle/>
        <a:p>
          <a:endParaRPr lang="de-DE"/>
        </a:p>
      </dgm:t>
    </dgm:pt>
    <dgm:pt modelId="{7A614B73-5C40-4AC6-BD12-B6C969AFB977}">
      <dgm:prSet phldrT="[Text]"/>
      <dgm:spPr/>
      <dgm:t>
        <a:bodyPr/>
        <a:lstStyle/>
        <a:p>
          <a:r>
            <a:rPr lang="de-DE"/>
            <a:t>grouping  by  content/ data segmentation</a:t>
          </a:r>
        </a:p>
      </dgm:t>
    </dgm:pt>
    <dgm:pt modelId="{6F2A4A47-EBFE-43DC-A512-1B07079C400F}" type="parTrans" cxnId="{2C5C04A5-EA42-41F5-88AE-97A6D49E512D}">
      <dgm:prSet/>
      <dgm:spPr/>
      <dgm:t>
        <a:bodyPr/>
        <a:lstStyle/>
        <a:p>
          <a:endParaRPr lang="de-DE"/>
        </a:p>
      </dgm:t>
    </dgm:pt>
    <dgm:pt modelId="{96E0917A-49F6-42BA-A968-6A0007BC0F72}" type="sibTrans" cxnId="{2C5C04A5-EA42-41F5-88AE-97A6D49E512D}">
      <dgm:prSet/>
      <dgm:spPr/>
      <dgm:t>
        <a:bodyPr/>
        <a:lstStyle/>
        <a:p>
          <a:endParaRPr lang="de-DE"/>
        </a:p>
      </dgm:t>
    </dgm:pt>
    <dgm:pt modelId="{34ED9A8A-6561-4FB1-8363-A217D46FCADC}">
      <dgm:prSet phldrT="[Text]"/>
      <dgm:spPr/>
      <dgm:t>
        <a:bodyPr/>
        <a:lstStyle/>
        <a:p>
          <a:r>
            <a:rPr lang="de-DE"/>
            <a:t>bitmaps</a:t>
          </a:r>
        </a:p>
      </dgm:t>
    </dgm:pt>
    <dgm:pt modelId="{63A88CA9-B643-44E1-A139-CA43F275F9BE}" type="parTrans" cxnId="{5B2246C8-9A42-4C1D-9CA9-271971FD0BF3}">
      <dgm:prSet/>
      <dgm:spPr/>
      <dgm:t>
        <a:bodyPr/>
        <a:lstStyle/>
        <a:p>
          <a:endParaRPr lang="de-DE"/>
        </a:p>
      </dgm:t>
    </dgm:pt>
    <dgm:pt modelId="{672E7792-E3D5-42BB-9A84-75956BD19630}" type="sibTrans" cxnId="{5B2246C8-9A42-4C1D-9CA9-271971FD0BF3}">
      <dgm:prSet/>
      <dgm:spPr/>
      <dgm:t>
        <a:bodyPr/>
        <a:lstStyle/>
        <a:p>
          <a:endParaRPr lang="de-DE"/>
        </a:p>
      </dgm:t>
    </dgm:pt>
    <dgm:pt modelId="{CDA87C97-652F-412D-BC8E-86DF641B437D}">
      <dgm:prSet phldrT="[Text]"/>
      <dgm:spPr/>
      <dgm:t>
        <a:bodyPr/>
        <a:lstStyle/>
        <a:p>
          <a:r>
            <a:rPr lang="de-DE"/>
            <a:t>compressed</a:t>
          </a:r>
        </a:p>
      </dgm:t>
    </dgm:pt>
    <dgm:pt modelId="{5334419E-60FC-4E77-90E7-648D7A311593}" type="parTrans" cxnId="{2D339D35-F223-43EB-AB84-965D062F4754}">
      <dgm:prSet/>
      <dgm:spPr/>
      <dgm:t>
        <a:bodyPr/>
        <a:lstStyle/>
        <a:p>
          <a:endParaRPr lang="de-DE"/>
        </a:p>
      </dgm:t>
    </dgm:pt>
    <dgm:pt modelId="{FC663559-F355-4188-A1EF-4CBBF477F43B}" type="sibTrans" cxnId="{2D339D35-F223-43EB-AB84-965D062F4754}">
      <dgm:prSet/>
      <dgm:spPr/>
      <dgm:t>
        <a:bodyPr/>
        <a:lstStyle/>
        <a:p>
          <a:endParaRPr lang="de-DE"/>
        </a:p>
      </dgm:t>
    </dgm:pt>
    <dgm:pt modelId="{965BBA3B-F891-438D-ABFF-17F65678ED2E}">
      <dgm:prSet phldrT="[Text]"/>
      <dgm:spPr/>
      <dgm:t>
        <a:bodyPr/>
        <a:lstStyle/>
        <a:p>
          <a:r>
            <a:rPr lang="de-DE"/>
            <a:t>compressed2</a:t>
          </a:r>
        </a:p>
      </dgm:t>
    </dgm:pt>
    <dgm:pt modelId="{7D57E214-3E89-49F5-A27B-82A559D42ABD}" type="parTrans" cxnId="{B2C0EEE9-559D-4CC8-A709-70588CE8FD4B}">
      <dgm:prSet/>
      <dgm:spPr/>
      <dgm:t>
        <a:bodyPr/>
        <a:lstStyle/>
        <a:p>
          <a:endParaRPr lang="de-DE"/>
        </a:p>
      </dgm:t>
    </dgm:pt>
    <dgm:pt modelId="{C23A4339-D206-468B-85BE-C6234364A399}" type="sibTrans" cxnId="{B2C0EEE9-559D-4CC8-A709-70588CE8FD4B}">
      <dgm:prSet/>
      <dgm:spPr/>
      <dgm:t>
        <a:bodyPr/>
        <a:lstStyle/>
        <a:p>
          <a:endParaRPr lang="de-DE"/>
        </a:p>
      </dgm:t>
    </dgm:pt>
    <dgm:pt modelId="{FA78330F-AB8C-4F35-BFCF-5E24F42E9898}">
      <dgm:prSet phldrT="[Text]"/>
      <dgm:spPr>
        <a:solidFill>
          <a:srgbClr val="FF0000"/>
        </a:solidFill>
      </dgm:spPr>
      <dgm:t>
        <a:bodyPr/>
        <a:lstStyle/>
        <a:p>
          <a:r>
            <a:rPr lang="de-DE"/>
            <a:t>exe</a:t>
          </a:r>
        </a:p>
      </dgm:t>
    </dgm:pt>
    <dgm:pt modelId="{88AB0BCB-9B38-4B1F-807C-2A0E28C165F3}" type="parTrans" cxnId="{BC78D2EB-DFC4-41C9-B603-EB69A5C1D706}">
      <dgm:prSet/>
      <dgm:spPr/>
      <dgm:t>
        <a:bodyPr/>
        <a:lstStyle/>
        <a:p>
          <a:endParaRPr lang="de-DE"/>
        </a:p>
      </dgm:t>
    </dgm:pt>
    <dgm:pt modelId="{5DD635E4-5326-4F9F-8E3B-877673D3D5F8}" type="sibTrans" cxnId="{BC78D2EB-DFC4-41C9-B603-EB69A5C1D706}">
      <dgm:prSet/>
      <dgm:spPr/>
      <dgm:t>
        <a:bodyPr/>
        <a:lstStyle/>
        <a:p>
          <a:endParaRPr lang="de-DE"/>
        </a:p>
      </dgm:t>
    </dgm:pt>
    <dgm:pt modelId="{BD87C575-9C1C-457F-8C8D-2E638A69408E}">
      <dgm:prSet phldrT="[Text]"/>
      <dgm:spPr/>
      <dgm:t>
        <a:bodyPr/>
        <a:lstStyle/>
        <a:p>
          <a:r>
            <a:rPr lang="de-DE"/>
            <a:t>jpeg</a:t>
          </a:r>
        </a:p>
      </dgm:t>
    </dgm:pt>
    <dgm:pt modelId="{479B3868-0A95-4153-933A-4FCDAE6E5B1F}" type="parTrans" cxnId="{53F432C5-DA62-47BE-ABD8-B896842612A4}">
      <dgm:prSet/>
      <dgm:spPr/>
      <dgm:t>
        <a:bodyPr/>
        <a:lstStyle/>
        <a:p>
          <a:endParaRPr lang="de-DE"/>
        </a:p>
      </dgm:t>
    </dgm:pt>
    <dgm:pt modelId="{08083C81-12B8-4DBB-BFD7-AB93F8D9CE78}" type="sibTrans" cxnId="{53F432C5-DA62-47BE-ABD8-B896842612A4}">
      <dgm:prSet/>
      <dgm:spPr/>
      <dgm:t>
        <a:bodyPr/>
        <a:lstStyle/>
        <a:p>
          <a:endParaRPr lang="de-DE"/>
        </a:p>
      </dgm:t>
    </dgm:pt>
    <dgm:pt modelId="{D0AEC066-F128-41AC-8510-ADF068F5DE87}">
      <dgm:prSet phldrT="[Text]"/>
      <dgm:spPr/>
      <dgm:t>
        <a:bodyPr/>
        <a:lstStyle/>
        <a:p>
          <a:r>
            <a:rPr lang="de-DE"/>
            <a:t>mp3</a:t>
          </a:r>
        </a:p>
      </dgm:t>
    </dgm:pt>
    <dgm:pt modelId="{A143FCA3-861B-4AC5-A882-414684A5C863}" type="parTrans" cxnId="{A3253391-FF5C-4110-B3F1-996FD4FBE597}">
      <dgm:prSet/>
      <dgm:spPr/>
      <dgm:t>
        <a:bodyPr/>
        <a:lstStyle/>
        <a:p>
          <a:endParaRPr lang="de-DE"/>
        </a:p>
      </dgm:t>
    </dgm:pt>
    <dgm:pt modelId="{2587999A-0714-41AE-84C0-294B070CEB4F}" type="sibTrans" cxnId="{A3253391-FF5C-4110-B3F1-996FD4FBE597}">
      <dgm:prSet/>
      <dgm:spPr/>
      <dgm:t>
        <a:bodyPr/>
        <a:lstStyle/>
        <a:p>
          <a:endParaRPr lang="de-DE"/>
        </a:p>
      </dgm:t>
    </dgm:pt>
    <dgm:pt modelId="{E485855D-2F77-463F-8696-79B1C2423B88}">
      <dgm:prSet phldrT="[Text]"/>
      <dgm:spPr>
        <a:solidFill>
          <a:srgbClr val="FF0000"/>
        </a:solidFill>
      </dgm:spPr>
      <dgm:t>
        <a:bodyPr/>
        <a:lstStyle/>
        <a:p>
          <a:r>
            <a:rPr lang="de-DE"/>
            <a:t>text</a:t>
          </a:r>
        </a:p>
      </dgm:t>
    </dgm:pt>
    <dgm:pt modelId="{FE4EB8CE-021A-4F61-A2A1-5482BA12ABD4}" type="parTrans" cxnId="{2519E4A2-E4B6-44B9-A3DB-D2E4E94993F1}">
      <dgm:prSet/>
      <dgm:spPr/>
      <dgm:t>
        <a:bodyPr/>
        <a:lstStyle/>
        <a:p>
          <a:endParaRPr lang="de-DE"/>
        </a:p>
      </dgm:t>
    </dgm:pt>
    <dgm:pt modelId="{D9A875BF-F5D7-4BB3-943E-477032C7F1C0}" type="sibTrans" cxnId="{2519E4A2-E4B6-44B9-A3DB-D2E4E94993F1}">
      <dgm:prSet/>
      <dgm:spPr/>
      <dgm:t>
        <a:bodyPr/>
        <a:lstStyle/>
        <a:p>
          <a:endParaRPr lang="de-DE"/>
        </a:p>
      </dgm:t>
    </dgm:pt>
    <dgm:pt modelId="{5CB3E75B-6B16-41A0-ACF4-83F3D1431765}">
      <dgm:prSet phldrT="[Text]"/>
      <dgm:spPr/>
      <dgm:t>
        <a:bodyPr/>
        <a:lstStyle/>
        <a:p>
          <a:r>
            <a:rPr lang="de-DE"/>
            <a:t>wave</a:t>
          </a:r>
        </a:p>
      </dgm:t>
    </dgm:pt>
    <dgm:pt modelId="{B46D3D8D-3ACF-466A-BB0B-C64C0B34ED44}" type="parTrans" cxnId="{CD9E77DF-3AD9-4648-B01D-CD4340A4F1AD}">
      <dgm:prSet/>
      <dgm:spPr/>
      <dgm:t>
        <a:bodyPr/>
        <a:lstStyle/>
        <a:p>
          <a:endParaRPr lang="de-DE"/>
        </a:p>
      </dgm:t>
    </dgm:pt>
    <dgm:pt modelId="{971841A2-D68D-4B6E-ADAC-C9A9FFBE4377}" type="sibTrans" cxnId="{CD9E77DF-3AD9-4648-B01D-CD4340A4F1AD}">
      <dgm:prSet/>
      <dgm:spPr/>
      <dgm:t>
        <a:bodyPr/>
        <a:lstStyle/>
        <a:p>
          <a:endParaRPr lang="de-DE"/>
        </a:p>
      </dgm:t>
    </dgm:pt>
    <dgm:pt modelId="{228BD240-FD24-48CF-9BD2-F13A53343C1E}">
      <dgm:prSet phldrT="[Text]"/>
      <dgm:spPr>
        <a:solidFill>
          <a:srgbClr val="FF0000"/>
        </a:solidFill>
      </dgm:spPr>
      <dgm:t>
        <a:bodyPr/>
        <a:lstStyle/>
        <a:p>
          <a:r>
            <a:rPr lang="de-DE"/>
            <a:t>if none of the above</a:t>
          </a:r>
        </a:p>
      </dgm:t>
    </dgm:pt>
    <dgm:pt modelId="{CBA61F88-C637-4298-9383-F3C0E0CF7D73}" type="parTrans" cxnId="{B2962326-DA77-4C34-8A98-7C9175AA1689}">
      <dgm:prSet/>
      <dgm:spPr/>
      <dgm:t>
        <a:bodyPr/>
        <a:lstStyle/>
        <a:p>
          <a:endParaRPr lang="de-DE"/>
        </a:p>
      </dgm:t>
    </dgm:pt>
    <dgm:pt modelId="{3C44E33F-053A-42A6-A3CE-29EADF57704B}" type="sibTrans" cxnId="{B2962326-DA77-4C34-8A98-7C9175AA1689}">
      <dgm:prSet/>
      <dgm:spPr/>
      <dgm:t>
        <a:bodyPr/>
        <a:lstStyle/>
        <a:p>
          <a:endParaRPr lang="de-DE"/>
        </a:p>
      </dgm:t>
    </dgm:pt>
    <dgm:pt modelId="{2F44C9FF-6994-4413-B34C-5AE9C307C7E3}">
      <dgm:prSet phldrT="[Text]"/>
      <dgm:spPr/>
      <dgm:t>
        <a:bodyPr/>
        <a:lstStyle/>
        <a:p>
          <a:r>
            <a:rPr lang="de-DE"/>
            <a:t>packPNM</a:t>
          </a:r>
        </a:p>
      </dgm:t>
    </dgm:pt>
    <dgm:pt modelId="{248E72CB-ED78-4D37-B5EA-BB87ED33ED7D}" type="parTrans" cxnId="{FCB70A97-1B16-4CAF-9E30-8870FC0FBAFD}">
      <dgm:prSet/>
      <dgm:spPr/>
      <dgm:t>
        <a:bodyPr/>
        <a:lstStyle/>
        <a:p>
          <a:endParaRPr lang="de-DE"/>
        </a:p>
      </dgm:t>
    </dgm:pt>
    <dgm:pt modelId="{E94EABA7-FDAF-4ABD-8BA6-B0DCE8C05308}" type="sibTrans" cxnId="{FCB70A97-1B16-4CAF-9E30-8870FC0FBAFD}">
      <dgm:prSet/>
      <dgm:spPr/>
      <dgm:t>
        <a:bodyPr/>
        <a:lstStyle/>
        <a:p>
          <a:endParaRPr lang="de-DE"/>
        </a:p>
      </dgm:t>
    </dgm:pt>
    <dgm:pt modelId="{5F8ABF5B-0772-432E-9D9C-EBFFBEF2E937}">
      <dgm:prSet phldrT="[Text]"/>
      <dgm:spPr/>
      <dgm:t>
        <a:bodyPr/>
        <a:lstStyle/>
        <a:p>
          <a:r>
            <a:rPr lang="de-DE"/>
            <a:t>store</a:t>
          </a:r>
        </a:p>
      </dgm:t>
    </dgm:pt>
    <dgm:pt modelId="{D93C850D-7D78-4A12-915A-9F56074BB74C}" type="parTrans" cxnId="{3F54F57B-69B7-41A9-BFC8-9B9C95567D8B}">
      <dgm:prSet/>
      <dgm:spPr/>
      <dgm:t>
        <a:bodyPr/>
        <a:lstStyle/>
        <a:p>
          <a:endParaRPr lang="de-DE"/>
        </a:p>
      </dgm:t>
    </dgm:pt>
    <dgm:pt modelId="{A6AE55D5-7FFA-4740-869C-2D30453FBB3B}" type="sibTrans" cxnId="{3F54F57B-69B7-41A9-BFC8-9B9C95567D8B}">
      <dgm:prSet/>
      <dgm:spPr/>
      <dgm:t>
        <a:bodyPr/>
        <a:lstStyle/>
        <a:p>
          <a:endParaRPr lang="de-DE"/>
        </a:p>
      </dgm:t>
    </dgm:pt>
    <dgm:pt modelId="{8CF49386-612D-4188-8925-5C7DBDA04B32}">
      <dgm:prSet phldrT="[Text]"/>
      <dgm:spPr/>
      <dgm:t>
        <a:bodyPr/>
        <a:lstStyle/>
        <a:p>
          <a:r>
            <a:rPr lang="de-DE"/>
            <a:t>BSC</a:t>
          </a:r>
        </a:p>
      </dgm:t>
    </dgm:pt>
    <dgm:pt modelId="{CD0A2303-7CFB-46A5-810F-1A683F23D5D1}" type="parTrans" cxnId="{FB97FB44-37E8-4183-B89A-8387F3D7F3BB}">
      <dgm:prSet/>
      <dgm:spPr/>
      <dgm:t>
        <a:bodyPr/>
        <a:lstStyle/>
        <a:p>
          <a:endParaRPr lang="de-DE"/>
        </a:p>
      </dgm:t>
    </dgm:pt>
    <dgm:pt modelId="{350E602C-5EE5-4E89-86F1-1E6CCCC00295}" type="sibTrans" cxnId="{FB97FB44-37E8-4183-B89A-8387F3D7F3BB}">
      <dgm:prSet/>
      <dgm:spPr/>
      <dgm:t>
        <a:bodyPr/>
        <a:lstStyle/>
        <a:p>
          <a:endParaRPr lang="de-DE"/>
        </a:p>
      </dgm:t>
    </dgm:pt>
    <dgm:pt modelId="{897BF35F-E098-470B-8C65-97221DF4C703}">
      <dgm:prSet phldrT="[Text]"/>
      <dgm:spPr/>
      <dgm:t>
        <a:bodyPr/>
        <a:lstStyle/>
        <a:p>
          <a:r>
            <a:rPr lang="de-DE"/>
            <a:t>BCJ2 + LZMA2</a:t>
          </a:r>
        </a:p>
      </dgm:t>
    </dgm:pt>
    <dgm:pt modelId="{5F69D8F1-E5A5-4B42-8533-1F6F2541983C}" type="parTrans" cxnId="{01ABEB77-C356-4DA9-82D1-2EF32993E46E}">
      <dgm:prSet/>
      <dgm:spPr/>
      <dgm:t>
        <a:bodyPr/>
        <a:lstStyle/>
        <a:p>
          <a:endParaRPr lang="de-DE"/>
        </a:p>
      </dgm:t>
    </dgm:pt>
    <dgm:pt modelId="{C12BB80A-5CD1-43B5-8103-95D6D6702D98}" type="sibTrans" cxnId="{01ABEB77-C356-4DA9-82D1-2EF32993E46E}">
      <dgm:prSet/>
      <dgm:spPr/>
      <dgm:t>
        <a:bodyPr/>
        <a:lstStyle/>
        <a:p>
          <a:endParaRPr lang="de-DE"/>
        </a:p>
      </dgm:t>
    </dgm:pt>
    <dgm:pt modelId="{474D41DC-8672-4AE7-9164-4FC8F57E5AEC}">
      <dgm:prSet phldrT="[Text]"/>
      <dgm:spPr/>
      <dgm:t>
        <a:bodyPr/>
        <a:lstStyle/>
        <a:p>
          <a:r>
            <a:rPr lang="de-DE"/>
            <a:t>packJPG</a:t>
          </a:r>
        </a:p>
      </dgm:t>
    </dgm:pt>
    <dgm:pt modelId="{F894B1E2-074A-418A-80B5-7D77276CA059}" type="parTrans" cxnId="{F62DB8DF-286F-448A-B9D7-E6BAA47A0A22}">
      <dgm:prSet/>
      <dgm:spPr/>
      <dgm:t>
        <a:bodyPr/>
        <a:lstStyle/>
        <a:p>
          <a:endParaRPr lang="de-DE"/>
        </a:p>
      </dgm:t>
    </dgm:pt>
    <dgm:pt modelId="{416B8BC8-FD78-4456-B560-1396EC6CA638}" type="sibTrans" cxnId="{F62DB8DF-286F-448A-B9D7-E6BAA47A0A22}">
      <dgm:prSet/>
      <dgm:spPr/>
      <dgm:t>
        <a:bodyPr/>
        <a:lstStyle/>
        <a:p>
          <a:endParaRPr lang="de-DE"/>
        </a:p>
      </dgm:t>
    </dgm:pt>
    <dgm:pt modelId="{FCE815C5-D18E-435A-BD2B-E1F161D727E4}">
      <dgm:prSet phldrT="[Text]"/>
      <dgm:spPr/>
      <dgm:t>
        <a:bodyPr/>
        <a:lstStyle/>
        <a:p>
          <a:r>
            <a:rPr lang="de-DE"/>
            <a:t>packMP3</a:t>
          </a:r>
        </a:p>
      </dgm:t>
    </dgm:pt>
    <dgm:pt modelId="{F106BE7E-EB7B-4CDC-84EC-537F08EEBB76}" type="parTrans" cxnId="{A0B2021F-ECE4-43FE-B0FD-4E0B14AB0C30}">
      <dgm:prSet/>
      <dgm:spPr/>
      <dgm:t>
        <a:bodyPr/>
        <a:lstStyle/>
        <a:p>
          <a:endParaRPr lang="de-DE"/>
        </a:p>
      </dgm:t>
    </dgm:pt>
    <dgm:pt modelId="{B3A5BC99-BC87-4566-9FD7-3B40AB9D5D07}" type="sibTrans" cxnId="{A0B2021F-ECE4-43FE-B0FD-4E0B14AB0C30}">
      <dgm:prSet/>
      <dgm:spPr/>
      <dgm:t>
        <a:bodyPr/>
        <a:lstStyle/>
        <a:p>
          <a:endParaRPr lang="de-DE"/>
        </a:p>
      </dgm:t>
    </dgm:pt>
    <dgm:pt modelId="{9A0D7B31-10A8-463E-937F-E13904A87FEE}">
      <dgm:prSet phldrT="[Text]"/>
      <dgm:spPr/>
      <dgm:t>
        <a:bodyPr/>
        <a:lstStyle/>
        <a:p>
          <a:r>
            <a:rPr lang="de-DE"/>
            <a:t>BSC</a:t>
          </a:r>
        </a:p>
      </dgm:t>
    </dgm:pt>
    <dgm:pt modelId="{DFFC80FE-8CE6-4D31-AFC7-21DED63FC0BD}" type="parTrans" cxnId="{5E6FE02A-25E9-464E-AEDB-76CF27A46AC0}">
      <dgm:prSet/>
      <dgm:spPr/>
      <dgm:t>
        <a:bodyPr/>
        <a:lstStyle/>
        <a:p>
          <a:endParaRPr lang="de-DE"/>
        </a:p>
      </dgm:t>
    </dgm:pt>
    <dgm:pt modelId="{7548CC88-98C3-4851-8878-7638723E2975}" type="sibTrans" cxnId="{5E6FE02A-25E9-464E-AEDB-76CF27A46AC0}">
      <dgm:prSet/>
      <dgm:spPr/>
      <dgm:t>
        <a:bodyPr/>
        <a:lstStyle/>
        <a:p>
          <a:endParaRPr lang="de-DE"/>
        </a:p>
      </dgm:t>
    </dgm:pt>
    <dgm:pt modelId="{B0B834A7-3905-4F92-9BA7-7AAF9895B6D4}">
      <dgm:prSet phldrT="[Text]"/>
      <dgm:spPr/>
      <dgm:t>
        <a:bodyPr/>
        <a:lstStyle/>
        <a:p>
          <a:r>
            <a:rPr lang="de-DE"/>
            <a:t>TTA / TAK</a:t>
          </a:r>
        </a:p>
      </dgm:t>
    </dgm:pt>
    <dgm:pt modelId="{9FF72F19-ED3E-4E58-8F02-58F1927D143B}" type="parTrans" cxnId="{833FCA1E-FA12-4522-8FBD-9C9E6D83C14D}">
      <dgm:prSet/>
      <dgm:spPr/>
      <dgm:t>
        <a:bodyPr/>
        <a:lstStyle/>
        <a:p>
          <a:endParaRPr lang="de-DE"/>
        </a:p>
      </dgm:t>
    </dgm:pt>
    <dgm:pt modelId="{74F810DD-D182-418C-8187-0B5277B7B36F}" type="sibTrans" cxnId="{833FCA1E-FA12-4522-8FBD-9C9E6D83C14D}">
      <dgm:prSet/>
      <dgm:spPr/>
      <dgm:t>
        <a:bodyPr/>
        <a:lstStyle/>
        <a:p>
          <a:endParaRPr lang="de-DE"/>
        </a:p>
      </dgm:t>
    </dgm:pt>
    <dgm:pt modelId="{6146E3B1-3246-4B2A-A6BB-E099FDD6EB9C}">
      <dgm:prSet phldrT="[Text]"/>
      <dgm:spPr/>
      <dgm:t>
        <a:bodyPr/>
        <a:lstStyle/>
        <a:p>
          <a:r>
            <a:rPr lang="de-DE"/>
            <a:t>LZMA2</a:t>
          </a:r>
        </a:p>
      </dgm:t>
    </dgm:pt>
    <dgm:pt modelId="{08B8E453-238A-441F-82DB-485A15E8D129}" type="parTrans" cxnId="{77125908-8022-42BE-91FD-94B5FBA1C5A3}">
      <dgm:prSet/>
      <dgm:spPr/>
      <dgm:t>
        <a:bodyPr/>
        <a:lstStyle/>
        <a:p>
          <a:endParaRPr lang="de-DE"/>
        </a:p>
      </dgm:t>
    </dgm:pt>
    <dgm:pt modelId="{1CB7B52E-A363-47C1-B9E2-A8A932A82AE1}" type="sibTrans" cxnId="{77125908-8022-42BE-91FD-94B5FBA1C5A3}">
      <dgm:prSet/>
      <dgm:spPr/>
      <dgm:t>
        <a:bodyPr/>
        <a:lstStyle/>
        <a:p>
          <a:endParaRPr lang="de-DE"/>
        </a:p>
      </dgm:t>
    </dgm:pt>
    <dgm:pt modelId="{D50EC4FB-4514-43B2-BBA8-11716ABB7C2E}" type="pres">
      <dgm:prSet presAssocID="{2A2AD1C8-4DE5-4D56-A12F-64D7DC2B1273}" presName="diagram" presStyleCnt="0">
        <dgm:presLayoutVars>
          <dgm:chPref val="1"/>
          <dgm:dir/>
          <dgm:animOne val="branch"/>
          <dgm:animLvl val="lvl"/>
          <dgm:resizeHandles val="exact"/>
        </dgm:presLayoutVars>
      </dgm:prSet>
      <dgm:spPr/>
      <dgm:t>
        <a:bodyPr/>
        <a:lstStyle/>
        <a:p>
          <a:endParaRPr lang="de-DE"/>
        </a:p>
      </dgm:t>
    </dgm:pt>
    <dgm:pt modelId="{5F9FC706-14EC-46CB-ABE2-C37246BBE554}" type="pres">
      <dgm:prSet presAssocID="{44816AC2-6026-425C-9F35-882D4B6BA39C}" presName="root1" presStyleCnt="0"/>
      <dgm:spPr/>
    </dgm:pt>
    <dgm:pt modelId="{C852C0F5-016C-4036-9C8E-8FEF9E087CAA}" type="pres">
      <dgm:prSet presAssocID="{44816AC2-6026-425C-9F35-882D4B6BA39C}" presName="LevelOneTextNode" presStyleLbl="node0" presStyleIdx="0" presStyleCnt="1" custScaleX="132398">
        <dgm:presLayoutVars>
          <dgm:chPref val="3"/>
        </dgm:presLayoutVars>
      </dgm:prSet>
      <dgm:spPr/>
      <dgm:t>
        <a:bodyPr/>
        <a:lstStyle/>
        <a:p>
          <a:endParaRPr lang="de-DE"/>
        </a:p>
      </dgm:t>
    </dgm:pt>
    <dgm:pt modelId="{AB4D0A82-4641-4D8D-82B8-D762D6824BE0}" type="pres">
      <dgm:prSet presAssocID="{44816AC2-6026-425C-9F35-882D4B6BA39C}" presName="level2hierChild" presStyleCnt="0"/>
      <dgm:spPr/>
    </dgm:pt>
    <dgm:pt modelId="{AC504C64-792E-4E1B-BDF5-A16CD384AF5F}" type="pres">
      <dgm:prSet presAssocID="{6F2A4A47-EBFE-43DC-A512-1B07079C400F}" presName="conn2-1" presStyleLbl="parChTrans1D2" presStyleIdx="0" presStyleCnt="1"/>
      <dgm:spPr/>
      <dgm:t>
        <a:bodyPr/>
        <a:lstStyle/>
        <a:p>
          <a:endParaRPr lang="de-DE"/>
        </a:p>
      </dgm:t>
    </dgm:pt>
    <dgm:pt modelId="{642ACAD2-0C0C-41D3-87BF-690E3BB8D6C2}" type="pres">
      <dgm:prSet presAssocID="{6F2A4A47-EBFE-43DC-A512-1B07079C400F}" presName="connTx" presStyleLbl="parChTrans1D2" presStyleIdx="0" presStyleCnt="1"/>
      <dgm:spPr/>
      <dgm:t>
        <a:bodyPr/>
        <a:lstStyle/>
        <a:p>
          <a:endParaRPr lang="de-DE"/>
        </a:p>
      </dgm:t>
    </dgm:pt>
    <dgm:pt modelId="{78C1EB75-725C-42DE-9B7C-11BE57DDD006}" type="pres">
      <dgm:prSet presAssocID="{7A614B73-5C40-4AC6-BD12-B6C969AFB977}" presName="root2" presStyleCnt="0"/>
      <dgm:spPr/>
    </dgm:pt>
    <dgm:pt modelId="{E5CD9143-BDA0-4E85-8BB0-589310756603}" type="pres">
      <dgm:prSet presAssocID="{7A614B73-5C40-4AC6-BD12-B6C969AFB977}" presName="LevelTwoTextNode" presStyleLbl="node2" presStyleIdx="0" presStyleCnt="1" custScaleX="147563">
        <dgm:presLayoutVars>
          <dgm:chPref val="3"/>
        </dgm:presLayoutVars>
      </dgm:prSet>
      <dgm:spPr/>
      <dgm:t>
        <a:bodyPr/>
        <a:lstStyle/>
        <a:p>
          <a:endParaRPr lang="de-DE"/>
        </a:p>
      </dgm:t>
    </dgm:pt>
    <dgm:pt modelId="{7A5C6EB3-EE2C-4EDB-BB7B-3FF8A8680572}" type="pres">
      <dgm:prSet presAssocID="{7A614B73-5C40-4AC6-BD12-B6C969AFB977}" presName="level3hierChild" presStyleCnt="0"/>
      <dgm:spPr/>
    </dgm:pt>
    <dgm:pt modelId="{553A6445-4C07-46A1-8944-BA833A9E6766}" type="pres">
      <dgm:prSet presAssocID="{63A88CA9-B643-44E1-A139-CA43F275F9BE}" presName="conn2-1" presStyleLbl="parChTrans1D3" presStyleIdx="0" presStyleCnt="9"/>
      <dgm:spPr/>
      <dgm:t>
        <a:bodyPr/>
        <a:lstStyle/>
        <a:p>
          <a:endParaRPr lang="de-DE"/>
        </a:p>
      </dgm:t>
    </dgm:pt>
    <dgm:pt modelId="{F26145B0-48B8-4F61-A0CF-857AB694BE4A}" type="pres">
      <dgm:prSet presAssocID="{63A88CA9-B643-44E1-A139-CA43F275F9BE}" presName="connTx" presStyleLbl="parChTrans1D3" presStyleIdx="0" presStyleCnt="9"/>
      <dgm:spPr/>
      <dgm:t>
        <a:bodyPr/>
        <a:lstStyle/>
        <a:p>
          <a:endParaRPr lang="de-DE"/>
        </a:p>
      </dgm:t>
    </dgm:pt>
    <dgm:pt modelId="{E7AA1E2C-BB0A-494D-9C6E-097FBAD80733}" type="pres">
      <dgm:prSet presAssocID="{34ED9A8A-6561-4FB1-8363-A217D46FCADC}" presName="root2" presStyleCnt="0"/>
      <dgm:spPr/>
    </dgm:pt>
    <dgm:pt modelId="{3A5AE4AD-C1B6-498A-AE7C-BAE748ABFD54}" type="pres">
      <dgm:prSet presAssocID="{34ED9A8A-6561-4FB1-8363-A217D46FCADC}" presName="LevelTwoTextNode" presStyleLbl="node3" presStyleIdx="0" presStyleCnt="9">
        <dgm:presLayoutVars>
          <dgm:chPref val="3"/>
        </dgm:presLayoutVars>
      </dgm:prSet>
      <dgm:spPr/>
      <dgm:t>
        <a:bodyPr/>
        <a:lstStyle/>
        <a:p>
          <a:endParaRPr lang="de-DE"/>
        </a:p>
      </dgm:t>
    </dgm:pt>
    <dgm:pt modelId="{7851C597-FD32-4C79-8BFC-19D2332EAC03}" type="pres">
      <dgm:prSet presAssocID="{34ED9A8A-6561-4FB1-8363-A217D46FCADC}" presName="level3hierChild" presStyleCnt="0"/>
      <dgm:spPr/>
    </dgm:pt>
    <dgm:pt modelId="{B06B532F-8969-42D6-8A56-F59D27145916}" type="pres">
      <dgm:prSet presAssocID="{248E72CB-ED78-4D37-B5EA-BB87ED33ED7D}" presName="conn2-1" presStyleLbl="parChTrans1D4" presStyleIdx="0" presStyleCnt="9"/>
      <dgm:spPr/>
      <dgm:t>
        <a:bodyPr/>
        <a:lstStyle/>
        <a:p>
          <a:endParaRPr lang="de-DE"/>
        </a:p>
      </dgm:t>
    </dgm:pt>
    <dgm:pt modelId="{BE524EFB-89C8-47B7-91B6-0613B76F151D}" type="pres">
      <dgm:prSet presAssocID="{248E72CB-ED78-4D37-B5EA-BB87ED33ED7D}" presName="connTx" presStyleLbl="parChTrans1D4" presStyleIdx="0" presStyleCnt="9"/>
      <dgm:spPr/>
      <dgm:t>
        <a:bodyPr/>
        <a:lstStyle/>
        <a:p>
          <a:endParaRPr lang="de-DE"/>
        </a:p>
      </dgm:t>
    </dgm:pt>
    <dgm:pt modelId="{E1EE34BD-7C0A-44C3-B2CC-D98FF905A9AD}" type="pres">
      <dgm:prSet presAssocID="{2F44C9FF-6994-4413-B34C-5AE9C307C7E3}" presName="root2" presStyleCnt="0"/>
      <dgm:spPr/>
    </dgm:pt>
    <dgm:pt modelId="{A6BBF191-9995-4673-8726-F82C88F19B54}" type="pres">
      <dgm:prSet presAssocID="{2F44C9FF-6994-4413-B34C-5AE9C307C7E3}" presName="LevelTwoTextNode" presStyleLbl="node4" presStyleIdx="0" presStyleCnt="9">
        <dgm:presLayoutVars>
          <dgm:chPref val="3"/>
        </dgm:presLayoutVars>
      </dgm:prSet>
      <dgm:spPr/>
      <dgm:t>
        <a:bodyPr/>
        <a:lstStyle/>
        <a:p>
          <a:endParaRPr lang="de-DE"/>
        </a:p>
      </dgm:t>
    </dgm:pt>
    <dgm:pt modelId="{2547F89A-4DDF-4454-85D7-EB9E64E5CB78}" type="pres">
      <dgm:prSet presAssocID="{2F44C9FF-6994-4413-B34C-5AE9C307C7E3}" presName="level3hierChild" presStyleCnt="0"/>
      <dgm:spPr/>
    </dgm:pt>
    <dgm:pt modelId="{B3677306-3067-404F-B003-A6A8BD39CD50}" type="pres">
      <dgm:prSet presAssocID="{5334419E-60FC-4E77-90E7-648D7A311593}" presName="conn2-1" presStyleLbl="parChTrans1D3" presStyleIdx="1" presStyleCnt="9"/>
      <dgm:spPr/>
      <dgm:t>
        <a:bodyPr/>
        <a:lstStyle/>
        <a:p>
          <a:endParaRPr lang="de-DE"/>
        </a:p>
      </dgm:t>
    </dgm:pt>
    <dgm:pt modelId="{D64F7A9C-9A6E-4B76-81D0-B20DC51055FE}" type="pres">
      <dgm:prSet presAssocID="{5334419E-60FC-4E77-90E7-648D7A311593}" presName="connTx" presStyleLbl="parChTrans1D3" presStyleIdx="1" presStyleCnt="9"/>
      <dgm:spPr/>
      <dgm:t>
        <a:bodyPr/>
        <a:lstStyle/>
        <a:p>
          <a:endParaRPr lang="de-DE"/>
        </a:p>
      </dgm:t>
    </dgm:pt>
    <dgm:pt modelId="{389E9279-E8EF-4295-B578-58BE9B2F0780}" type="pres">
      <dgm:prSet presAssocID="{CDA87C97-652F-412D-BC8E-86DF641B437D}" presName="root2" presStyleCnt="0"/>
      <dgm:spPr/>
    </dgm:pt>
    <dgm:pt modelId="{4EC3A0EF-AFE4-41BE-A202-3C67E270738F}" type="pres">
      <dgm:prSet presAssocID="{CDA87C97-652F-412D-BC8E-86DF641B437D}" presName="LevelTwoTextNode" presStyleLbl="node3" presStyleIdx="1" presStyleCnt="9">
        <dgm:presLayoutVars>
          <dgm:chPref val="3"/>
        </dgm:presLayoutVars>
      </dgm:prSet>
      <dgm:spPr/>
      <dgm:t>
        <a:bodyPr/>
        <a:lstStyle/>
        <a:p>
          <a:endParaRPr lang="de-DE"/>
        </a:p>
      </dgm:t>
    </dgm:pt>
    <dgm:pt modelId="{4B0D67F2-99A9-488A-9592-986D4CAE09B6}" type="pres">
      <dgm:prSet presAssocID="{CDA87C97-652F-412D-BC8E-86DF641B437D}" presName="level3hierChild" presStyleCnt="0"/>
      <dgm:spPr/>
    </dgm:pt>
    <dgm:pt modelId="{9D6B8360-78B0-441F-8CA0-E0E725095AB8}" type="pres">
      <dgm:prSet presAssocID="{D93C850D-7D78-4A12-915A-9F56074BB74C}" presName="conn2-1" presStyleLbl="parChTrans1D4" presStyleIdx="1" presStyleCnt="9"/>
      <dgm:spPr/>
      <dgm:t>
        <a:bodyPr/>
        <a:lstStyle/>
        <a:p>
          <a:endParaRPr lang="de-DE"/>
        </a:p>
      </dgm:t>
    </dgm:pt>
    <dgm:pt modelId="{F09D1188-EC90-42DA-B4D5-4790C9E437E8}" type="pres">
      <dgm:prSet presAssocID="{D93C850D-7D78-4A12-915A-9F56074BB74C}" presName="connTx" presStyleLbl="parChTrans1D4" presStyleIdx="1" presStyleCnt="9"/>
      <dgm:spPr/>
      <dgm:t>
        <a:bodyPr/>
        <a:lstStyle/>
        <a:p>
          <a:endParaRPr lang="de-DE"/>
        </a:p>
      </dgm:t>
    </dgm:pt>
    <dgm:pt modelId="{EF2DABA7-6879-42E0-B08B-73B817CC3574}" type="pres">
      <dgm:prSet presAssocID="{5F8ABF5B-0772-432E-9D9C-EBFFBEF2E937}" presName="root2" presStyleCnt="0"/>
      <dgm:spPr/>
    </dgm:pt>
    <dgm:pt modelId="{EAE040E1-0C84-4555-9E2C-E2348656D9DB}" type="pres">
      <dgm:prSet presAssocID="{5F8ABF5B-0772-432E-9D9C-EBFFBEF2E937}" presName="LevelTwoTextNode" presStyleLbl="node4" presStyleIdx="1" presStyleCnt="9">
        <dgm:presLayoutVars>
          <dgm:chPref val="3"/>
        </dgm:presLayoutVars>
      </dgm:prSet>
      <dgm:spPr/>
      <dgm:t>
        <a:bodyPr/>
        <a:lstStyle/>
        <a:p>
          <a:endParaRPr lang="de-DE"/>
        </a:p>
      </dgm:t>
    </dgm:pt>
    <dgm:pt modelId="{F09B09F4-0DD8-4FD2-96F3-0FDD4C0F0DFE}" type="pres">
      <dgm:prSet presAssocID="{5F8ABF5B-0772-432E-9D9C-EBFFBEF2E937}" presName="level3hierChild" presStyleCnt="0"/>
      <dgm:spPr/>
    </dgm:pt>
    <dgm:pt modelId="{02369F28-EA80-4F20-8A8E-B00DF1979D88}" type="pres">
      <dgm:prSet presAssocID="{7D57E214-3E89-49F5-A27B-82A559D42ABD}" presName="conn2-1" presStyleLbl="parChTrans1D3" presStyleIdx="2" presStyleCnt="9"/>
      <dgm:spPr/>
      <dgm:t>
        <a:bodyPr/>
        <a:lstStyle/>
        <a:p>
          <a:endParaRPr lang="de-DE"/>
        </a:p>
      </dgm:t>
    </dgm:pt>
    <dgm:pt modelId="{2EEECF7A-4239-4287-BADA-E5E4E94A2F91}" type="pres">
      <dgm:prSet presAssocID="{7D57E214-3E89-49F5-A27B-82A559D42ABD}" presName="connTx" presStyleLbl="parChTrans1D3" presStyleIdx="2" presStyleCnt="9"/>
      <dgm:spPr/>
      <dgm:t>
        <a:bodyPr/>
        <a:lstStyle/>
        <a:p>
          <a:endParaRPr lang="de-DE"/>
        </a:p>
      </dgm:t>
    </dgm:pt>
    <dgm:pt modelId="{7128A026-FC7A-4D81-9923-597CC797EEC4}" type="pres">
      <dgm:prSet presAssocID="{965BBA3B-F891-438D-ABFF-17F65678ED2E}" presName="root2" presStyleCnt="0"/>
      <dgm:spPr/>
    </dgm:pt>
    <dgm:pt modelId="{6D8617E7-4859-460C-85AE-EB5068CD5BFC}" type="pres">
      <dgm:prSet presAssocID="{965BBA3B-F891-438D-ABFF-17F65678ED2E}" presName="LevelTwoTextNode" presStyleLbl="node3" presStyleIdx="2" presStyleCnt="9">
        <dgm:presLayoutVars>
          <dgm:chPref val="3"/>
        </dgm:presLayoutVars>
      </dgm:prSet>
      <dgm:spPr/>
      <dgm:t>
        <a:bodyPr/>
        <a:lstStyle/>
        <a:p>
          <a:endParaRPr lang="de-DE"/>
        </a:p>
      </dgm:t>
    </dgm:pt>
    <dgm:pt modelId="{3CAC36F8-FA76-4B51-9C59-82084951FE4C}" type="pres">
      <dgm:prSet presAssocID="{965BBA3B-F891-438D-ABFF-17F65678ED2E}" presName="level3hierChild" presStyleCnt="0"/>
      <dgm:spPr/>
    </dgm:pt>
    <dgm:pt modelId="{74D85A5E-3DB9-49AB-B734-799C48DB509E}" type="pres">
      <dgm:prSet presAssocID="{CD0A2303-7CFB-46A5-810F-1A683F23D5D1}" presName="conn2-1" presStyleLbl="parChTrans1D4" presStyleIdx="2" presStyleCnt="9"/>
      <dgm:spPr/>
      <dgm:t>
        <a:bodyPr/>
        <a:lstStyle/>
        <a:p>
          <a:endParaRPr lang="de-DE"/>
        </a:p>
      </dgm:t>
    </dgm:pt>
    <dgm:pt modelId="{B3D7352F-9695-4962-A423-8278418928F7}" type="pres">
      <dgm:prSet presAssocID="{CD0A2303-7CFB-46A5-810F-1A683F23D5D1}" presName="connTx" presStyleLbl="parChTrans1D4" presStyleIdx="2" presStyleCnt="9"/>
      <dgm:spPr/>
      <dgm:t>
        <a:bodyPr/>
        <a:lstStyle/>
        <a:p>
          <a:endParaRPr lang="de-DE"/>
        </a:p>
      </dgm:t>
    </dgm:pt>
    <dgm:pt modelId="{66040869-8C86-47E4-83DE-4207397614EA}" type="pres">
      <dgm:prSet presAssocID="{8CF49386-612D-4188-8925-5C7DBDA04B32}" presName="root2" presStyleCnt="0"/>
      <dgm:spPr/>
    </dgm:pt>
    <dgm:pt modelId="{A008274B-8819-4B1F-8527-415FC9B1573D}" type="pres">
      <dgm:prSet presAssocID="{8CF49386-612D-4188-8925-5C7DBDA04B32}" presName="LevelTwoTextNode" presStyleLbl="node4" presStyleIdx="2" presStyleCnt="9">
        <dgm:presLayoutVars>
          <dgm:chPref val="3"/>
        </dgm:presLayoutVars>
      </dgm:prSet>
      <dgm:spPr/>
      <dgm:t>
        <a:bodyPr/>
        <a:lstStyle/>
        <a:p>
          <a:endParaRPr lang="de-DE"/>
        </a:p>
      </dgm:t>
    </dgm:pt>
    <dgm:pt modelId="{C63C3452-E496-4755-A42A-CBE893E43CA1}" type="pres">
      <dgm:prSet presAssocID="{8CF49386-612D-4188-8925-5C7DBDA04B32}" presName="level3hierChild" presStyleCnt="0"/>
      <dgm:spPr/>
    </dgm:pt>
    <dgm:pt modelId="{446B30B4-095C-4890-BBDA-8C23B7967814}" type="pres">
      <dgm:prSet presAssocID="{88AB0BCB-9B38-4B1F-807C-2A0E28C165F3}" presName="conn2-1" presStyleLbl="parChTrans1D3" presStyleIdx="3" presStyleCnt="9"/>
      <dgm:spPr/>
      <dgm:t>
        <a:bodyPr/>
        <a:lstStyle/>
        <a:p>
          <a:endParaRPr lang="de-DE"/>
        </a:p>
      </dgm:t>
    </dgm:pt>
    <dgm:pt modelId="{48EEAC4D-2AC7-4A83-A9B4-6C4A462A333B}" type="pres">
      <dgm:prSet presAssocID="{88AB0BCB-9B38-4B1F-807C-2A0E28C165F3}" presName="connTx" presStyleLbl="parChTrans1D3" presStyleIdx="3" presStyleCnt="9"/>
      <dgm:spPr/>
      <dgm:t>
        <a:bodyPr/>
        <a:lstStyle/>
        <a:p>
          <a:endParaRPr lang="de-DE"/>
        </a:p>
      </dgm:t>
    </dgm:pt>
    <dgm:pt modelId="{8FCFB345-483F-49C3-8EAD-9B49D682BC60}" type="pres">
      <dgm:prSet presAssocID="{FA78330F-AB8C-4F35-BFCF-5E24F42E9898}" presName="root2" presStyleCnt="0"/>
      <dgm:spPr/>
    </dgm:pt>
    <dgm:pt modelId="{F9C46582-6052-4102-85FD-9518D800748D}" type="pres">
      <dgm:prSet presAssocID="{FA78330F-AB8C-4F35-BFCF-5E24F42E9898}" presName="LevelTwoTextNode" presStyleLbl="node3" presStyleIdx="3" presStyleCnt="9">
        <dgm:presLayoutVars>
          <dgm:chPref val="3"/>
        </dgm:presLayoutVars>
      </dgm:prSet>
      <dgm:spPr/>
      <dgm:t>
        <a:bodyPr/>
        <a:lstStyle/>
        <a:p>
          <a:endParaRPr lang="de-DE"/>
        </a:p>
      </dgm:t>
    </dgm:pt>
    <dgm:pt modelId="{1FEE6E1F-1670-45DC-B01B-C006E24D8401}" type="pres">
      <dgm:prSet presAssocID="{FA78330F-AB8C-4F35-BFCF-5E24F42E9898}" presName="level3hierChild" presStyleCnt="0"/>
      <dgm:spPr/>
    </dgm:pt>
    <dgm:pt modelId="{A7B49BC9-D4A0-401C-8A97-8F23391994CE}" type="pres">
      <dgm:prSet presAssocID="{5F69D8F1-E5A5-4B42-8533-1F6F2541983C}" presName="conn2-1" presStyleLbl="parChTrans1D4" presStyleIdx="3" presStyleCnt="9"/>
      <dgm:spPr/>
      <dgm:t>
        <a:bodyPr/>
        <a:lstStyle/>
        <a:p>
          <a:endParaRPr lang="de-DE"/>
        </a:p>
      </dgm:t>
    </dgm:pt>
    <dgm:pt modelId="{67988220-A3F4-4EF5-B218-576D95205F7F}" type="pres">
      <dgm:prSet presAssocID="{5F69D8F1-E5A5-4B42-8533-1F6F2541983C}" presName="connTx" presStyleLbl="parChTrans1D4" presStyleIdx="3" presStyleCnt="9"/>
      <dgm:spPr/>
      <dgm:t>
        <a:bodyPr/>
        <a:lstStyle/>
        <a:p>
          <a:endParaRPr lang="de-DE"/>
        </a:p>
      </dgm:t>
    </dgm:pt>
    <dgm:pt modelId="{31C1775C-03F0-4EE0-BFD1-7398C4B93E19}" type="pres">
      <dgm:prSet presAssocID="{897BF35F-E098-470B-8C65-97221DF4C703}" presName="root2" presStyleCnt="0"/>
      <dgm:spPr/>
    </dgm:pt>
    <dgm:pt modelId="{0DFF70AC-409D-437C-89F7-A2740CBE5343}" type="pres">
      <dgm:prSet presAssocID="{897BF35F-E098-470B-8C65-97221DF4C703}" presName="LevelTwoTextNode" presStyleLbl="node4" presStyleIdx="3" presStyleCnt="9">
        <dgm:presLayoutVars>
          <dgm:chPref val="3"/>
        </dgm:presLayoutVars>
      </dgm:prSet>
      <dgm:spPr/>
      <dgm:t>
        <a:bodyPr/>
        <a:lstStyle/>
        <a:p>
          <a:endParaRPr lang="de-DE"/>
        </a:p>
      </dgm:t>
    </dgm:pt>
    <dgm:pt modelId="{B8F5B81B-5482-4038-A5EB-7C967C239368}" type="pres">
      <dgm:prSet presAssocID="{897BF35F-E098-470B-8C65-97221DF4C703}" presName="level3hierChild" presStyleCnt="0"/>
      <dgm:spPr/>
    </dgm:pt>
    <dgm:pt modelId="{88097B2E-4643-4782-97DD-396397E240C3}" type="pres">
      <dgm:prSet presAssocID="{479B3868-0A95-4153-933A-4FCDAE6E5B1F}" presName="conn2-1" presStyleLbl="parChTrans1D3" presStyleIdx="4" presStyleCnt="9"/>
      <dgm:spPr/>
      <dgm:t>
        <a:bodyPr/>
        <a:lstStyle/>
        <a:p>
          <a:endParaRPr lang="de-DE"/>
        </a:p>
      </dgm:t>
    </dgm:pt>
    <dgm:pt modelId="{D6394156-4652-4AB8-BFAE-F5416242F698}" type="pres">
      <dgm:prSet presAssocID="{479B3868-0A95-4153-933A-4FCDAE6E5B1F}" presName="connTx" presStyleLbl="parChTrans1D3" presStyleIdx="4" presStyleCnt="9"/>
      <dgm:spPr/>
      <dgm:t>
        <a:bodyPr/>
        <a:lstStyle/>
        <a:p>
          <a:endParaRPr lang="de-DE"/>
        </a:p>
      </dgm:t>
    </dgm:pt>
    <dgm:pt modelId="{A23DA1F2-B2DB-4F32-9DBB-1076B46A16B7}" type="pres">
      <dgm:prSet presAssocID="{BD87C575-9C1C-457F-8C8D-2E638A69408E}" presName="root2" presStyleCnt="0"/>
      <dgm:spPr/>
    </dgm:pt>
    <dgm:pt modelId="{BF5206FE-E3C6-4883-8B72-25C43AF6E90B}" type="pres">
      <dgm:prSet presAssocID="{BD87C575-9C1C-457F-8C8D-2E638A69408E}" presName="LevelTwoTextNode" presStyleLbl="node3" presStyleIdx="4" presStyleCnt="9">
        <dgm:presLayoutVars>
          <dgm:chPref val="3"/>
        </dgm:presLayoutVars>
      </dgm:prSet>
      <dgm:spPr/>
      <dgm:t>
        <a:bodyPr/>
        <a:lstStyle/>
        <a:p>
          <a:endParaRPr lang="de-DE"/>
        </a:p>
      </dgm:t>
    </dgm:pt>
    <dgm:pt modelId="{9DA80592-F9FC-48B0-8A4E-B51EE27BBCA6}" type="pres">
      <dgm:prSet presAssocID="{BD87C575-9C1C-457F-8C8D-2E638A69408E}" presName="level3hierChild" presStyleCnt="0"/>
      <dgm:spPr/>
    </dgm:pt>
    <dgm:pt modelId="{92953001-902D-4451-B840-0A760B968D69}" type="pres">
      <dgm:prSet presAssocID="{F894B1E2-074A-418A-80B5-7D77276CA059}" presName="conn2-1" presStyleLbl="parChTrans1D4" presStyleIdx="4" presStyleCnt="9"/>
      <dgm:spPr/>
      <dgm:t>
        <a:bodyPr/>
        <a:lstStyle/>
        <a:p>
          <a:endParaRPr lang="de-DE"/>
        </a:p>
      </dgm:t>
    </dgm:pt>
    <dgm:pt modelId="{C13BBB1F-7121-48A6-A2DA-6F3EC958E430}" type="pres">
      <dgm:prSet presAssocID="{F894B1E2-074A-418A-80B5-7D77276CA059}" presName="connTx" presStyleLbl="parChTrans1D4" presStyleIdx="4" presStyleCnt="9"/>
      <dgm:spPr/>
      <dgm:t>
        <a:bodyPr/>
        <a:lstStyle/>
        <a:p>
          <a:endParaRPr lang="de-DE"/>
        </a:p>
      </dgm:t>
    </dgm:pt>
    <dgm:pt modelId="{3885BE01-1BA2-44B8-ABCC-4292C830F3F7}" type="pres">
      <dgm:prSet presAssocID="{474D41DC-8672-4AE7-9164-4FC8F57E5AEC}" presName="root2" presStyleCnt="0"/>
      <dgm:spPr/>
    </dgm:pt>
    <dgm:pt modelId="{C7929A37-87A7-4417-BCCA-56721FD8FCC2}" type="pres">
      <dgm:prSet presAssocID="{474D41DC-8672-4AE7-9164-4FC8F57E5AEC}" presName="LevelTwoTextNode" presStyleLbl="node4" presStyleIdx="4" presStyleCnt="9">
        <dgm:presLayoutVars>
          <dgm:chPref val="3"/>
        </dgm:presLayoutVars>
      </dgm:prSet>
      <dgm:spPr/>
      <dgm:t>
        <a:bodyPr/>
        <a:lstStyle/>
        <a:p>
          <a:endParaRPr lang="de-DE"/>
        </a:p>
      </dgm:t>
    </dgm:pt>
    <dgm:pt modelId="{57FA1837-5EC4-495C-A236-D102A0A40A49}" type="pres">
      <dgm:prSet presAssocID="{474D41DC-8672-4AE7-9164-4FC8F57E5AEC}" presName="level3hierChild" presStyleCnt="0"/>
      <dgm:spPr/>
    </dgm:pt>
    <dgm:pt modelId="{14199023-2042-4801-AC0A-576F2A4B74AB}" type="pres">
      <dgm:prSet presAssocID="{A143FCA3-861B-4AC5-A882-414684A5C863}" presName="conn2-1" presStyleLbl="parChTrans1D3" presStyleIdx="5" presStyleCnt="9"/>
      <dgm:spPr/>
      <dgm:t>
        <a:bodyPr/>
        <a:lstStyle/>
        <a:p>
          <a:endParaRPr lang="de-DE"/>
        </a:p>
      </dgm:t>
    </dgm:pt>
    <dgm:pt modelId="{392CD15A-46DD-454D-A78D-48409D119541}" type="pres">
      <dgm:prSet presAssocID="{A143FCA3-861B-4AC5-A882-414684A5C863}" presName="connTx" presStyleLbl="parChTrans1D3" presStyleIdx="5" presStyleCnt="9"/>
      <dgm:spPr/>
      <dgm:t>
        <a:bodyPr/>
        <a:lstStyle/>
        <a:p>
          <a:endParaRPr lang="de-DE"/>
        </a:p>
      </dgm:t>
    </dgm:pt>
    <dgm:pt modelId="{0CBA6F7C-5B69-4E36-A3BC-70F981B21511}" type="pres">
      <dgm:prSet presAssocID="{D0AEC066-F128-41AC-8510-ADF068F5DE87}" presName="root2" presStyleCnt="0"/>
      <dgm:spPr/>
    </dgm:pt>
    <dgm:pt modelId="{8E39CE72-A54A-40C1-866B-642AE744CED7}" type="pres">
      <dgm:prSet presAssocID="{D0AEC066-F128-41AC-8510-ADF068F5DE87}" presName="LevelTwoTextNode" presStyleLbl="node3" presStyleIdx="5" presStyleCnt="9">
        <dgm:presLayoutVars>
          <dgm:chPref val="3"/>
        </dgm:presLayoutVars>
      </dgm:prSet>
      <dgm:spPr/>
      <dgm:t>
        <a:bodyPr/>
        <a:lstStyle/>
        <a:p>
          <a:endParaRPr lang="de-DE"/>
        </a:p>
      </dgm:t>
    </dgm:pt>
    <dgm:pt modelId="{1DA229EE-3466-4C7F-A892-D75C5D8E6205}" type="pres">
      <dgm:prSet presAssocID="{D0AEC066-F128-41AC-8510-ADF068F5DE87}" presName="level3hierChild" presStyleCnt="0"/>
      <dgm:spPr/>
    </dgm:pt>
    <dgm:pt modelId="{BC0DE7FA-0497-4400-A7AA-A91DEE3AF204}" type="pres">
      <dgm:prSet presAssocID="{F106BE7E-EB7B-4CDC-84EC-537F08EEBB76}" presName="conn2-1" presStyleLbl="parChTrans1D4" presStyleIdx="5" presStyleCnt="9"/>
      <dgm:spPr/>
      <dgm:t>
        <a:bodyPr/>
        <a:lstStyle/>
        <a:p>
          <a:endParaRPr lang="de-DE"/>
        </a:p>
      </dgm:t>
    </dgm:pt>
    <dgm:pt modelId="{985F063E-9DAE-4EB8-9218-95F170B7F559}" type="pres">
      <dgm:prSet presAssocID="{F106BE7E-EB7B-4CDC-84EC-537F08EEBB76}" presName="connTx" presStyleLbl="parChTrans1D4" presStyleIdx="5" presStyleCnt="9"/>
      <dgm:spPr/>
      <dgm:t>
        <a:bodyPr/>
        <a:lstStyle/>
        <a:p>
          <a:endParaRPr lang="de-DE"/>
        </a:p>
      </dgm:t>
    </dgm:pt>
    <dgm:pt modelId="{5FCE35D4-1491-4119-BB39-FF579B9E283B}" type="pres">
      <dgm:prSet presAssocID="{FCE815C5-D18E-435A-BD2B-E1F161D727E4}" presName="root2" presStyleCnt="0"/>
      <dgm:spPr/>
    </dgm:pt>
    <dgm:pt modelId="{AAF68882-4B60-4ACF-9BCA-5281E1B9C05E}" type="pres">
      <dgm:prSet presAssocID="{FCE815C5-D18E-435A-BD2B-E1F161D727E4}" presName="LevelTwoTextNode" presStyleLbl="node4" presStyleIdx="5" presStyleCnt="9">
        <dgm:presLayoutVars>
          <dgm:chPref val="3"/>
        </dgm:presLayoutVars>
      </dgm:prSet>
      <dgm:spPr/>
      <dgm:t>
        <a:bodyPr/>
        <a:lstStyle/>
        <a:p>
          <a:endParaRPr lang="de-DE"/>
        </a:p>
      </dgm:t>
    </dgm:pt>
    <dgm:pt modelId="{C1A2765F-2A17-4346-89A5-D0380D3B6241}" type="pres">
      <dgm:prSet presAssocID="{FCE815C5-D18E-435A-BD2B-E1F161D727E4}" presName="level3hierChild" presStyleCnt="0"/>
      <dgm:spPr/>
    </dgm:pt>
    <dgm:pt modelId="{C656B832-B7DD-458E-BA28-13CE8CF9DC00}" type="pres">
      <dgm:prSet presAssocID="{FE4EB8CE-021A-4F61-A2A1-5482BA12ABD4}" presName="conn2-1" presStyleLbl="parChTrans1D3" presStyleIdx="6" presStyleCnt="9"/>
      <dgm:spPr/>
      <dgm:t>
        <a:bodyPr/>
        <a:lstStyle/>
        <a:p>
          <a:endParaRPr lang="de-DE"/>
        </a:p>
      </dgm:t>
    </dgm:pt>
    <dgm:pt modelId="{8639C9D9-798C-422F-9E59-BD5E540A31C9}" type="pres">
      <dgm:prSet presAssocID="{FE4EB8CE-021A-4F61-A2A1-5482BA12ABD4}" presName="connTx" presStyleLbl="parChTrans1D3" presStyleIdx="6" presStyleCnt="9"/>
      <dgm:spPr/>
      <dgm:t>
        <a:bodyPr/>
        <a:lstStyle/>
        <a:p>
          <a:endParaRPr lang="de-DE"/>
        </a:p>
      </dgm:t>
    </dgm:pt>
    <dgm:pt modelId="{42F7E9BA-EB9D-4C60-83BA-3E73CA9360D6}" type="pres">
      <dgm:prSet presAssocID="{E485855D-2F77-463F-8696-79B1C2423B88}" presName="root2" presStyleCnt="0"/>
      <dgm:spPr/>
    </dgm:pt>
    <dgm:pt modelId="{9DD42457-605E-415A-9D13-6BA7A02D505D}" type="pres">
      <dgm:prSet presAssocID="{E485855D-2F77-463F-8696-79B1C2423B88}" presName="LevelTwoTextNode" presStyleLbl="node3" presStyleIdx="6" presStyleCnt="9">
        <dgm:presLayoutVars>
          <dgm:chPref val="3"/>
        </dgm:presLayoutVars>
      </dgm:prSet>
      <dgm:spPr/>
      <dgm:t>
        <a:bodyPr/>
        <a:lstStyle/>
        <a:p>
          <a:endParaRPr lang="de-DE"/>
        </a:p>
      </dgm:t>
    </dgm:pt>
    <dgm:pt modelId="{E2B4F230-2458-4929-AF8D-13438DE2B6A4}" type="pres">
      <dgm:prSet presAssocID="{E485855D-2F77-463F-8696-79B1C2423B88}" presName="level3hierChild" presStyleCnt="0"/>
      <dgm:spPr/>
    </dgm:pt>
    <dgm:pt modelId="{4B570DBA-9A82-436D-A4DE-36D76AE4D77F}" type="pres">
      <dgm:prSet presAssocID="{DFFC80FE-8CE6-4D31-AFC7-21DED63FC0BD}" presName="conn2-1" presStyleLbl="parChTrans1D4" presStyleIdx="6" presStyleCnt="9"/>
      <dgm:spPr/>
      <dgm:t>
        <a:bodyPr/>
        <a:lstStyle/>
        <a:p>
          <a:endParaRPr lang="de-DE"/>
        </a:p>
      </dgm:t>
    </dgm:pt>
    <dgm:pt modelId="{1610A843-DDC5-4D67-B5BD-F6B36C76D322}" type="pres">
      <dgm:prSet presAssocID="{DFFC80FE-8CE6-4D31-AFC7-21DED63FC0BD}" presName="connTx" presStyleLbl="parChTrans1D4" presStyleIdx="6" presStyleCnt="9"/>
      <dgm:spPr/>
      <dgm:t>
        <a:bodyPr/>
        <a:lstStyle/>
        <a:p>
          <a:endParaRPr lang="de-DE"/>
        </a:p>
      </dgm:t>
    </dgm:pt>
    <dgm:pt modelId="{7A7346F3-A815-4CA3-97F7-E684E5BEBBE9}" type="pres">
      <dgm:prSet presAssocID="{9A0D7B31-10A8-463E-937F-E13904A87FEE}" presName="root2" presStyleCnt="0"/>
      <dgm:spPr/>
    </dgm:pt>
    <dgm:pt modelId="{C76199A6-F3FC-4853-91E1-FDD93617A833}" type="pres">
      <dgm:prSet presAssocID="{9A0D7B31-10A8-463E-937F-E13904A87FEE}" presName="LevelTwoTextNode" presStyleLbl="node4" presStyleIdx="6" presStyleCnt="9">
        <dgm:presLayoutVars>
          <dgm:chPref val="3"/>
        </dgm:presLayoutVars>
      </dgm:prSet>
      <dgm:spPr/>
      <dgm:t>
        <a:bodyPr/>
        <a:lstStyle/>
        <a:p>
          <a:endParaRPr lang="de-DE"/>
        </a:p>
      </dgm:t>
    </dgm:pt>
    <dgm:pt modelId="{A1738A63-B3DC-4B6F-BAB2-BF5CA7EA4DBD}" type="pres">
      <dgm:prSet presAssocID="{9A0D7B31-10A8-463E-937F-E13904A87FEE}" presName="level3hierChild" presStyleCnt="0"/>
      <dgm:spPr/>
    </dgm:pt>
    <dgm:pt modelId="{01AD7C79-5B9B-4976-9E20-EF110A64DCBF}" type="pres">
      <dgm:prSet presAssocID="{B46D3D8D-3ACF-466A-BB0B-C64C0B34ED44}" presName="conn2-1" presStyleLbl="parChTrans1D3" presStyleIdx="7" presStyleCnt="9"/>
      <dgm:spPr/>
      <dgm:t>
        <a:bodyPr/>
        <a:lstStyle/>
        <a:p>
          <a:endParaRPr lang="de-DE"/>
        </a:p>
      </dgm:t>
    </dgm:pt>
    <dgm:pt modelId="{66228926-82E5-47F2-A2AB-B02B978E08BE}" type="pres">
      <dgm:prSet presAssocID="{B46D3D8D-3ACF-466A-BB0B-C64C0B34ED44}" presName="connTx" presStyleLbl="parChTrans1D3" presStyleIdx="7" presStyleCnt="9"/>
      <dgm:spPr/>
      <dgm:t>
        <a:bodyPr/>
        <a:lstStyle/>
        <a:p>
          <a:endParaRPr lang="de-DE"/>
        </a:p>
      </dgm:t>
    </dgm:pt>
    <dgm:pt modelId="{29ADBF42-FD7B-4453-B02F-8D0E507C1965}" type="pres">
      <dgm:prSet presAssocID="{5CB3E75B-6B16-41A0-ACF4-83F3D1431765}" presName="root2" presStyleCnt="0"/>
      <dgm:spPr/>
    </dgm:pt>
    <dgm:pt modelId="{989486B0-A81F-4D4A-8B9E-2DE0A23310EB}" type="pres">
      <dgm:prSet presAssocID="{5CB3E75B-6B16-41A0-ACF4-83F3D1431765}" presName="LevelTwoTextNode" presStyleLbl="node3" presStyleIdx="7" presStyleCnt="9">
        <dgm:presLayoutVars>
          <dgm:chPref val="3"/>
        </dgm:presLayoutVars>
      </dgm:prSet>
      <dgm:spPr/>
      <dgm:t>
        <a:bodyPr/>
        <a:lstStyle/>
        <a:p>
          <a:endParaRPr lang="de-DE"/>
        </a:p>
      </dgm:t>
    </dgm:pt>
    <dgm:pt modelId="{C8AF6A1D-A29A-422A-B74A-377D5CF97A38}" type="pres">
      <dgm:prSet presAssocID="{5CB3E75B-6B16-41A0-ACF4-83F3D1431765}" presName="level3hierChild" presStyleCnt="0"/>
      <dgm:spPr/>
    </dgm:pt>
    <dgm:pt modelId="{21942879-C5FE-4E4A-8F60-3C0303FE2BC3}" type="pres">
      <dgm:prSet presAssocID="{9FF72F19-ED3E-4E58-8F02-58F1927D143B}" presName="conn2-1" presStyleLbl="parChTrans1D4" presStyleIdx="7" presStyleCnt="9"/>
      <dgm:spPr/>
      <dgm:t>
        <a:bodyPr/>
        <a:lstStyle/>
        <a:p>
          <a:endParaRPr lang="de-DE"/>
        </a:p>
      </dgm:t>
    </dgm:pt>
    <dgm:pt modelId="{EE7B3233-805E-4965-ABE9-30461985A19D}" type="pres">
      <dgm:prSet presAssocID="{9FF72F19-ED3E-4E58-8F02-58F1927D143B}" presName="connTx" presStyleLbl="parChTrans1D4" presStyleIdx="7" presStyleCnt="9"/>
      <dgm:spPr/>
      <dgm:t>
        <a:bodyPr/>
        <a:lstStyle/>
        <a:p>
          <a:endParaRPr lang="de-DE"/>
        </a:p>
      </dgm:t>
    </dgm:pt>
    <dgm:pt modelId="{DA6E9F20-CCAE-4198-8D2C-4016DED029C8}" type="pres">
      <dgm:prSet presAssocID="{B0B834A7-3905-4F92-9BA7-7AAF9895B6D4}" presName="root2" presStyleCnt="0"/>
      <dgm:spPr/>
    </dgm:pt>
    <dgm:pt modelId="{F1A83C29-4B02-494F-B1A0-A73B8802D5B8}" type="pres">
      <dgm:prSet presAssocID="{B0B834A7-3905-4F92-9BA7-7AAF9895B6D4}" presName="LevelTwoTextNode" presStyleLbl="node4" presStyleIdx="7" presStyleCnt="9">
        <dgm:presLayoutVars>
          <dgm:chPref val="3"/>
        </dgm:presLayoutVars>
      </dgm:prSet>
      <dgm:spPr/>
      <dgm:t>
        <a:bodyPr/>
        <a:lstStyle/>
        <a:p>
          <a:endParaRPr lang="de-DE"/>
        </a:p>
      </dgm:t>
    </dgm:pt>
    <dgm:pt modelId="{65C5CD67-A5E9-4FB9-A71E-1A6170B0DA2F}" type="pres">
      <dgm:prSet presAssocID="{B0B834A7-3905-4F92-9BA7-7AAF9895B6D4}" presName="level3hierChild" presStyleCnt="0"/>
      <dgm:spPr/>
    </dgm:pt>
    <dgm:pt modelId="{CBE4AF10-7BB3-4BF3-99AF-359CCACEED17}" type="pres">
      <dgm:prSet presAssocID="{CBA61F88-C637-4298-9383-F3C0E0CF7D73}" presName="conn2-1" presStyleLbl="parChTrans1D3" presStyleIdx="8" presStyleCnt="9"/>
      <dgm:spPr/>
      <dgm:t>
        <a:bodyPr/>
        <a:lstStyle/>
        <a:p>
          <a:endParaRPr lang="de-DE"/>
        </a:p>
      </dgm:t>
    </dgm:pt>
    <dgm:pt modelId="{7193C396-9CAE-4163-8B53-23DB2A779311}" type="pres">
      <dgm:prSet presAssocID="{CBA61F88-C637-4298-9383-F3C0E0CF7D73}" presName="connTx" presStyleLbl="parChTrans1D3" presStyleIdx="8" presStyleCnt="9"/>
      <dgm:spPr/>
      <dgm:t>
        <a:bodyPr/>
        <a:lstStyle/>
        <a:p>
          <a:endParaRPr lang="de-DE"/>
        </a:p>
      </dgm:t>
    </dgm:pt>
    <dgm:pt modelId="{10740184-9747-4A71-8507-8DC0523223D7}" type="pres">
      <dgm:prSet presAssocID="{228BD240-FD24-48CF-9BD2-F13A53343C1E}" presName="root2" presStyleCnt="0"/>
      <dgm:spPr/>
    </dgm:pt>
    <dgm:pt modelId="{38BD3B21-9B36-42E4-902C-2E2BFC04B4A0}" type="pres">
      <dgm:prSet presAssocID="{228BD240-FD24-48CF-9BD2-F13A53343C1E}" presName="LevelTwoTextNode" presStyleLbl="node3" presStyleIdx="8" presStyleCnt="9">
        <dgm:presLayoutVars>
          <dgm:chPref val="3"/>
        </dgm:presLayoutVars>
      </dgm:prSet>
      <dgm:spPr/>
      <dgm:t>
        <a:bodyPr/>
        <a:lstStyle/>
        <a:p>
          <a:endParaRPr lang="de-DE"/>
        </a:p>
      </dgm:t>
    </dgm:pt>
    <dgm:pt modelId="{394A5674-8BDC-4095-9055-92621F57A36B}" type="pres">
      <dgm:prSet presAssocID="{228BD240-FD24-48CF-9BD2-F13A53343C1E}" presName="level3hierChild" presStyleCnt="0"/>
      <dgm:spPr/>
    </dgm:pt>
    <dgm:pt modelId="{CEDD12E0-8D29-4563-A7E6-C87464DA4415}" type="pres">
      <dgm:prSet presAssocID="{08B8E453-238A-441F-82DB-485A15E8D129}" presName="conn2-1" presStyleLbl="parChTrans1D4" presStyleIdx="8" presStyleCnt="9"/>
      <dgm:spPr/>
      <dgm:t>
        <a:bodyPr/>
        <a:lstStyle/>
        <a:p>
          <a:endParaRPr lang="de-DE"/>
        </a:p>
      </dgm:t>
    </dgm:pt>
    <dgm:pt modelId="{B5946233-0D26-4621-8182-583CCE9F66F4}" type="pres">
      <dgm:prSet presAssocID="{08B8E453-238A-441F-82DB-485A15E8D129}" presName="connTx" presStyleLbl="parChTrans1D4" presStyleIdx="8" presStyleCnt="9"/>
      <dgm:spPr/>
      <dgm:t>
        <a:bodyPr/>
        <a:lstStyle/>
        <a:p>
          <a:endParaRPr lang="de-DE"/>
        </a:p>
      </dgm:t>
    </dgm:pt>
    <dgm:pt modelId="{38DA3786-FEA5-45A7-8C27-D3AFB0465596}" type="pres">
      <dgm:prSet presAssocID="{6146E3B1-3246-4B2A-A6BB-E099FDD6EB9C}" presName="root2" presStyleCnt="0"/>
      <dgm:spPr/>
    </dgm:pt>
    <dgm:pt modelId="{BB3B3672-94B0-4923-B362-D3C8B3CAA888}" type="pres">
      <dgm:prSet presAssocID="{6146E3B1-3246-4B2A-A6BB-E099FDD6EB9C}" presName="LevelTwoTextNode" presStyleLbl="node4" presStyleIdx="8" presStyleCnt="9">
        <dgm:presLayoutVars>
          <dgm:chPref val="3"/>
        </dgm:presLayoutVars>
      </dgm:prSet>
      <dgm:spPr/>
      <dgm:t>
        <a:bodyPr/>
        <a:lstStyle/>
        <a:p>
          <a:endParaRPr lang="de-DE"/>
        </a:p>
      </dgm:t>
    </dgm:pt>
    <dgm:pt modelId="{D8890AB6-033B-4F25-A2D8-31BBD8F8AF75}" type="pres">
      <dgm:prSet presAssocID="{6146E3B1-3246-4B2A-A6BB-E099FDD6EB9C}" presName="level3hierChild" presStyleCnt="0"/>
      <dgm:spPr/>
    </dgm:pt>
  </dgm:ptLst>
  <dgm:cxnLst>
    <dgm:cxn modelId="{B2962326-DA77-4C34-8A98-7C9175AA1689}" srcId="{7A614B73-5C40-4AC6-BD12-B6C969AFB977}" destId="{228BD240-FD24-48CF-9BD2-F13A53343C1E}" srcOrd="8" destOrd="0" parTransId="{CBA61F88-C637-4298-9383-F3C0E0CF7D73}" sibTransId="{3C44E33F-053A-42A6-A3CE-29EADF57704B}"/>
    <dgm:cxn modelId="{B2C0EEE9-559D-4CC8-A709-70588CE8FD4B}" srcId="{7A614B73-5C40-4AC6-BD12-B6C969AFB977}" destId="{965BBA3B-F891-438D-ABFF-17F65678ED2E}" srcOrd="2" destOrd="0" parTransId="{7D57E214-3E89-49F5-A27B-82A559D42ABD}" sibTransId="{C23A4339-D206-468B-85BE-C6234364A399}"/>
    <dgm:cxn modelId="{1F5DBC4F-9ADD-4602-A597-584D0808C966}" type="presOf" srcId="{CD0A2303-7CFB-46A5-810F-1A683F23D5D1}" destId="{74D85A5E-3DB9-49AB-B734-799C48DB509E}" srcOrd="0" destOrd="0" presId="urn:microsoft.com/office/officeart/2005/8/layout/hierarchy2"/>
    <dgm:cxn modelId="{514A11BA-3277-45E2-84D6-1D3104BE5A89}" type="presOf" srcId="{9A0D7B31-10A8-463E-937F-E13904A87FEE}" destId="{C76199A6-F3FC-4853-91E1-FDD93617A833}" srcOrd="0" destOrd="0" presId="urn:microsoft.com/office/officeart/2005/8/layout/hierarchy2"/>
    <dgm:cxn modelId="{A0B2021F-ECE4-43FE-B0FD-4E0B14AB0C30}" srcId="{D0AEC066-F128-41AC-8510-ADF068F5DE87}" destId="{FCE815C5-D18E-435A-BD2B-E1F161D727E4}" srcOrd="0" destOrd="0" parTransId="{F106BE7E-EB7B-4CDC-84EC-537F08EEBB76}" sibTransId="{B3A5BC99-BC87-4566-9FD7-3B40AB9D5D07}"/>
    <dgm:cxn modelId="{FC3CC570-CEF4-4F17-8809-B491B6DD898A}" type="presOf" srcId="{D0AEC066-F128-41AC-8510-ADF068F5DE87}" destId="{8E39CE72-A54A-40C1-866B-642AE744CED7}" srcOrd="0" destOrd="0" presId="urn:microsoft.com/office/officeart/2005/8/layout/hierarchy2"/>
    <dgm:cxn modelId="{3DBCAD17-49BA-49E0-9933-8627F75CACED}" type="presOf" srcId="{B0B834A7-3905-4F92-9BA7-7AAF9895B6D4}" destId="{F1A83C29-4B02-494F-B1A0-A73B8802D5B8}" srcOrd="0" destOrd="0" presId="urn:microsoft.com/office/officeart/2005/8/layout/hierarchy2"/>
    <dgm:cxn modelId="{81D8330C-8525-4489-BC54-28D212E98F96}" type="presOf" srcId="{F106BE7E-EB7B-4CDC-84EC-537F08EEBB76}" destId="{BC0DE7FA-0497-4400-A7AA-A91DEE3AF204}" srcOrd="0" destOrd="0" presId="urn:microsoft.com/office/officeart/2005/8/layout/hierarchy2"/>
    <dgm:cxn modelId="{4AE6A1B2-FFB0-4360-AB88-6D11E90D98F6}" type="presOf" srcId="{5334419E-60FC-4E77-90E7-648D7A311593}" destId="{B3677306-3067-404F-B003-A6A8BD39CD50}" srcOrd="0" destOrd="0" presId="urn:microsoft.com/office/officeart/2005/8/layout/hierarchy2"/>
    <dgm:cxn modelId="{FB97FB44-37E8-4183-B89A-8387F3D7F3BB}" srcId="{965BBA3B-F891-438D-ABFF-17F65678ED2E}" destId="{8CF49386-612D-4188-8925-5C7DBDA04B32}" srcOrd="0" destOrd="0" parTransId="{CD0A2303-7CFB-46A5-810F-1A683F23D5D1}" sibTransId="{350E602C-5EE5-4E89-86F1-1E6CCCC00295}"/>
    <dgm:cxn modelId="{4A78C2FC-B73D-44A2-8DC3-90EE9696C0CA}" type="presOf" srcId="{2F44C9FF-6994-4413-B34C-5AE9C307C7E3}" destId="{A6BBF191-9995-4673-8726-F82C88F19B54}" srcOrd="0" destOrd="0" presId="urn:microsoft.com/office/officeart/2005/8/layout/hierarchy2"/>
    <dgm:cxn modelId="{5B2246C8-9A42-4C1D-9CA9-271971FD0BF3}" srcId="{7A614B73-5C40-4AC6-BD12-B6C969AFB977}" destId="{34ED9A8A-6561-4FB1-8363-A217D46FCADC}" srcOrd="0" destOrd="0" parTransId="{63A88CA9-B643-44E1-A139-CA43F275F9BE}" sibTransId="{672E7792-E3D5-42BB-9A84-75956BD19630}"/>
    <dgm:cxn modelId="{84823550-9274-4818-9297-CBE95BFAAA9D}" type="presOf" srcId="{FE4EB8CE-021A-4F61-A2A1-5482BA12ABD4}" destId="{C656B832-B7DD-458E-BA28-13CE8CF9DC00}" srcOrd="0" destOrd="0" presId="urn:microsoft.com/office/officeart/2005/8/layout/hierarchy2"/>
    <dgm:cxn modelId="{2519E4A2-E4B6-44B9-A3DB-D2E4E94993F1}" srcId="{7A614B73-5C40-4AC6-BD12-B6C969AFB977}" destId="{E485855D-2F77-463F-8696-79B1C2423B88}" srcOrd="6" destOrd="0" parTransId="{FE4EB8CE-021A-4F61-A2A1-5482BA12ABD4}" sibTransId="{D9A875BF-F5D7-4BB3-943E-477032C7F1C0}"/>
    <dgm:cxn modelId="{025066FD-2DF0-452E-9561-5658C8B09F85}" type="presOf" srcId="{44816AC2-6026-425C-9F35-882D4B6BA39C}" destId="{C852C0F5-016C-4036-9C8E-8FEF9E087CAA}" srcOrd="0" destOrd="0" presId="urn:microsoft.com/office/officeart/2005/8/layout/hierarchy2"/>
    <dgm:cxn modelId="{ABBED071-00E6-4670-BCF0-E14C0C1DFA61}" type="presOf" srcId="{479B3868-0A95-4153-933A-4FCDAE6E5B1F}" destId="{88097B2E-4643-4782-97DD-396397E240C3}" srcOrd="0" destOrd="0" presId="urn:microsoft.com/office/officeart/2005/8/layout/hierarchy2"/>
    <dgm:cxn modelId="{2EA5F986-0FB3-455F-8C96-A76927085E7E}" type="presOf" srcId="{D93C850D-7D78-4A12-915A-9F56074BB74C}" destId="{F09D1188-EC90-42DA-B4D5-4790C9E437E8}" srcOrd="1" destOrd="0" presId="urn:microsoft.com/office/officeart/2005/8/layout/hierarchy2"/>
    <dgm:cxn modelId="{9FE4CFD1-14C4-446F-B63B-42974256569A}" type="presOf" srcId="{D93C850D-7D78-4A12-915A-9F56074BB74C}" destId="{9D6B8360-78B0-441F-8CA0-E0E725095AB8}" srcOrd="0" destOrd="0" presId="urn:microsoft.com/office/officeart/2005/8/layout/hierarchy2"/>
    <dgm:cxn modelId="{FCB70A97-1B16-4CAF-9E30-8870FC0FBAFD}" srcId="{34ED9A8A-6561-4FB1-8363-A217D46FCADC}" destId="{2F44C9FF-6994-4413-B34C-5AE9C307C7E3}" srcOrd="0" destOrd="0" parTransId="{248E72CB-ED78-4D37-B5EA-BB87ED33ED7D}" sibTransId="{E94EABA7-FDAF-4ABD-8BA6-B0DCE8C05308}"/>
    <dgm:cxn modelId="{E4320D58-AD7E-414D-94E0-5263B4FA1103}" type="presOf" srcId="{88AB0BCB-9B38-4B1F-807C-2A0E28C165F3}" destId="{48EEAC4D-2AC7-4A83-A9B4-6C4A462A333B}" srcOrd="1" destOrd="0" presId="urn:microsoft.com/office/officeart/2005/8/layout/hierarchy2"/>
    <dgm:cxn modelId="{77125908-8022-42BE-91FD-94B5FBA1C5A3}" srcId="{228BD240-FD24-48CF-9BD2-F13A53343C1E}" destId="{6146E3B1-3246-4B2A-A6BB-E099FDD6EB9C}" srcOrd="0" destOrd="0" parTransId="{08B8E453-238A-441F-82DB-485A15E8D129}" sibTransId="{1CB7B52E-A363-47C1-B9E2-A8A932A82AE1}"/>
    <dgm:cxn modelId="{2CA9513E-4491-42E9-B86C-77E213951A70}" type="presOf" srcId="{248E72CB-ED78-4D37-B5EA-BB87ED33ED7D}" destId="{BE524EFB-89C8-47B7-91B6-0613B76F151D}" srcOrd="1" destOrd="0" presId="urn:microsoft.com/office/officeart/2005/8/layout/hierarchy2"/>
    <dgm:cxn modelId="{7189E5FB-EA7A-49EC-8905-A03D964B1F10}" type="presOf" srcId="{5F69D8F1-E5A5-4B42-8533-1F6F2541983C}" destId="{A7B49BC9-D4A0-401C-8A97-8F23391994CE}" srcOrd="0" destOrd="0" presId="urn:microsoft.com/office/officeart/2005/8/layout/hierarchy2"/>
    <dgm:cxn modelId="{13105593-1C9A-4AAA-A6E5-7C833D598D3E}" type="presOf" srcId="{F894B1E2-074A-418A-80B5-7D77276CA059}" destId="{92953001-902D-4451-B840-0A760B968D69}" srcOrd="0" destOrd="0" presId="urn:microsoft.com/office/officeart/2005/8/layout/hierarchy2"/>
    <dgm:cxn modelId="{D63B3C91-6BCF-412A-A9C8-190415D39B56}" type="presOf" srcId="{474D41DC-8672-4AE7-9164-4FC8F57E5AEC}" destId="{C7929A37-87A7-4417-BCCA-56721FD8FCC2}" srcOrd="0" destOrd="0" presId="urn:microsoft.com/office/officeart/2005/8/layout/hierarchy2"/>
    <dgm:cxn modelId="{12D70782-FD88-4F2C-9A36-35708CFB64EC}" type="presOf" srcId="{9FF72F19-ED3E-4E58-8F02-58F1927D143B}" destId="{21942879-C5FE-4E4A-8F60-3C0303FE2BC3}" srcOrd="0" destOrd="0" presId="urn:microsoft.com/office/officeart/2005/8/layout/hierarchy2"/>
    <dgm:cxn modelId="{9C037739-1BAD-418D-9F2F-5679579CDF98}" type="presOf" srcId="{E485855D-2F77-463F-8696-79B1C2423B88}" destId="{9DD42457-605E-415A-9D13-6BA7A02D505D}" srcOrd="0" destOrd="0" presId="urn:microsoft.com/office/officeart/2005/8/layout/hierarchy2"/>
    <dgm:cxn modelId="{10CFD809-DE91-4CF2-848A-5E129B0BCD36}" type="presOf" srcId="{CBA61F88-C637-4298-9383-F3C0E0CF7D73}" destId="{7193C396-9CAE-4163-8B53-23DB2A779311}" srcOrd="1" destOrd="0" presId="urn:microsoft.com/office/officeart/2005/8/layout/hierarchy2"/>
    <dgm:cxn modelId="{2C5C04A5-EA42-41F5-88AE-97A6D49E512D}" srcId="{44816AC2-6026-425C-9F35-882D4B6BA39C}" destId="{7A614B73-5C40-4AC6-BD12-B6C969AFB977}" srcOrd="0" destOrd="0" parTransId="{6F2A4A47-EBFE-43DC-A512-1B07079C400F}" sibTransId="{96E0917A-49F6-42BA-A968-6A0007BC0F72}"/>
    <dgm:cxn modelId="{F930BB3F-D356-408E-8C79-0EC6C137FDFE}" type="presOf" srcId="{DFFC80FE-8CE6-4D31-AFC7-21DED63FC0BD}" destId="{4B570DBA-9A82-436D-A4DE-36D76AE4D77F}" srcOrd="0" destOrd="0" presId="urn:microsoft.com/office/officeart/2005/8/layout/hierarchy2"/>
    <dgm:cxn modelId="{A611E520-B12F-4ED9-B6CA-56B52E7E36E0}" type="presOf" srcId="{9FF72F19-ED3E-4E58-8F02-58F1927D143B}" destId="{EE7B3233-805E-4965-ABE9-30461985A19D}" srcOrd="1" destOrd="0" presId="urn:microsoft.com/office/officeart/2005/8/layout/hierarchy2"/>
    <dgm:cxn modelId="{0989A81B-AD53-4E48-B659-27B86929B4FF}" type="presOf" srcId="{7D57E214-3E89-49F5-A27B-82A559D42ABD}" destId="{02369F28-EA80-4F20-8A8E-B00DF1979D88}" srcOrd="0" destOrd="0" presId="urn:microsoft.com/office/officeart/2005/8/layout/hierarchy2"/>
    <dgm:cxn modelId="{0A79D9BE-ED85-4E46-A35D-5C0246D230C6}" type="presOf" srcId="{CDA87C97-652F-412D-BC8E-86DF641B437D}" destId="{4EC3A0EF-AFE4-41BE-A202-3C67E270738F}" srcOrd="0" destOrd="0" presId="urn:microsoft.com/office/officeart/2005/8/layout/hierarchy2"/>
    <dgm:cxn modelId="{2D339D35-F223-43EB-AB84-965D062F4754}" srcId="{7A614B73-5C40-4AC6-BD12-B6C969AFB977}" destId="{CDA87C97-652F-412D-BC8E-86DF641B437D}" srcOrd="1" destOrd="0" parTransId="{5334419E-60FC-4E77-90E7-648D7A311593}" sibTransId="{FC663559-F355-4188-A1EF-4CBBF477F43B}"/>
    <dgm:cxn modelId="{631952F0-39E7-4623-998D-164890221F84}" type="presOf" srcId="{6F2A4A47-EBFE-43DC-A512-1B07079C400F}" destId="{AC504C64-792E-4E1B-BDF5-A16CD384AF5F}" srcOrd="0" destOrd="0" presId="urn:microsoft.com/office/officeart/2005/8/layout/hierarchy2"/>
    <dgm:cxn modelId="{38F332B5-66CC-47E1-8B5C-E0724D0E7A3F}" type="presOf" srcId="{6F2A4A47-EBFE-43DC-A512-1B07079C400F}" destId="{642ACAD2-0C0C-41D3-87BF-690E3BB8D6C2}" srcOrd="1" destOrd="0" presId="urn:microsoft.com/office/officeart/2005/8/layout/hierarchy2"/>
    <dgm:cxn modelId="{AAB073E0-432E-4453-A538-8C39BB4EC9A1}" type="presOf" srcId="{DFFC80FE-8CE6-4D31-AFC7-21DED63FC0BD}" destId="{1610A843-DDC5-4D67-B5BD-F6B36C76D322}" srcOrd="1" destOrd="0" presId="urn:microsoft.com/office/officeart/2005/8/layout/hierarchy2"/>
    <dgm:cxn modelId="{CD9E77DF-3AD9-4648-B01D-CD4340A4F1AD}" srcId="{7A614B73-5C40-4AC6-BD12-B6C969AFB977}" destId="{5CB3E75B-6B16-41A0-ACF4-83F3D1431765}" srcOrd="7" destOrd="0" parTransId="{B46D3D8D-3ACF-466A-BB0B-C64C0B34ED44}" sibTransId="{971841A2-D68D-4B6E-ADAC-C9A9FFBE4377}"/>
    <dgm:cxn modelId="{5BEA5B58-83E5-4E48-B458-CED349F6AD95}" type="presOf" srcId="{B46D3D8D-3ACF-466A-BB0B-C64C0B34ED44}" destId="{66228926-82E5-47F2-A2AB-B02B978E08BE}" srcOrd="1" destOrd="0" presId="urn:microsoft.com/office/officeart/2005/8/layout/hierarchy2"/>
    <dgm:cxn modelId="{9614E884-3F8F-458D-B5F8-CF50B7F0AADB}" type="presOf" srcId="{CBA61F88-C637-4298-9383-F3C0E0CF7D73}" destId="{CBE4AF10-7BB3-4BF3-99AF-359CCACEED17}" srcOrd="0" destOrd="0" presId="urn:microsoft.com/office/officeart/2005/8/layout/hierarchy2"/>
    <dgm:cxn modelId="{37B32F00-C1C7-4424-956F-508E3CB8B007}" type="presOf" srcId="{88AB0BCB-9B38-4B1F-807C-2A0E28C165F3}" destId="{446B30B4-095C-4890-BBDA-8C23B7967814}" srcOrd="0" destOrd="0" presId="urn:microsoft.com/office/officeart/2005/8/layout/hierarchy2"/>
    <dgm:cxn modelId="{02F4A98A-24DC-4A9D-8BD6-FFF3A6466AF0}" type="presOf" srcId="{BD87C575-9C1C-457F-8C8D-2E638A69408E}" destId="{BF5206FE-E3C6-4883-8B72-25C43AF6E90B}" srcOrd="0" destOrd="0" presId="urn:microsoft.com/office/officeart/2005/8/layout/hierarchy2"/>
    <dgm:cxn modelId="{F62DB8DF-286F-448A-B9D7-E6BAA47A0A22}" srcId="{BD87C575-9C1C-457F-8C8D-2E638A69408E}" destId="{474D41DC-8672-4AE7-9164-4FC8F57E5AEC}" srcOrd="0" destOrd="0" parTransId="{F894B1E2-074A-418A-80B5-7D77276CA059}" sibTransId="{416B8BC8-FD78-4456-B560-1396EC6CA638}"/>
    <dgm:cxn modelId="{53F432C5-DA62-47BE-ABD8-B896842612A4}" srcId="{7A614B73-5C40-4AC6-BD12-B6C969AFB977}" destId="{BD87C575-9C1C-457F-8C8D-2E638A69408E}" srcOrd="4" destOrd="0" parTransId="{479B3868-0A95-4153-933A-4FCDAE6E5B1F}" sibTransId="{08083C81-12B8-4DBB-BFD7-AB93F8D9CE78}"/>
    <dgm:cxn modelId="{A1EB0586-2BAA-40D3-B86D-70C4CF985AE5}" type="presOf" srcId="{CD0A2303-7CFB-46A5-810F-1A683F23D5D1}" destId="{B3D7352F-9695-4962-A423-8278418928F7}" srcOrd="1" destOrd="0" presId="urn:microsoft.com/office/officeart/2005/8/layout/hierarchy2"/>
    <dgm:cxn modelId="{DF55C7D6-DBA1-42F4-9417-B868799288DE}" type="presOf" srcId="{5F69D8F1-E5A5-4B42-8533-1F6F2541983C}" destId="{67988220-A3F4-4EF5-B218-576D95205F7F}" srcOrd="1" destOrd="0" presId="urn:microsoft.com/office/officeart/2005/8/layout/hierarchy2"/>
    <dgm:cxn modelId="{449BDF31-C852-42FA-92F8-BB26EBD53030}" type="presOf" srcId="{965BBA3B-F891-438D-ABFF-17F65678ED2E}" destId="{6D8617E7-4859-460C-85AE-EB5068CD5BFC}" srcOrd="0" destOrd="0" presId="urn:microsoft.com/office/officeart/2005/8/layout/hierarchy2"/>
    <dgm:cxn modelId="{CE0D8DAB-9F52-4D1E-BCAC-AA6D4EDD897E}" type="presOf" srcId="{F894B1E2-074A-418A-80B5-7D77276CA059}" destId="{C13BBB1F-7121-48A6-A2DA-6F3EC958E430}" srcOrd="1" destOrd="0" presId="urn:microsoft.com/office/officeart/2005/8/layout/hierarchy2"/>
    <dgm:cxn modelId="{01ABEB77-C356-4DA9-82D1-2EF32993E46E}" srcId="{FA78330F-AB8C-4F35-BFCF-5E24F42E9898}" destId="{897BF35F-E098-470B-8C65-97221DF4C703}" srcOrd="0" destOrd="0" parTransId="{5F69D8F1-E5A5-4B42-8533-1F6F2541983C}" sibTransId="{C12BB80A-5CD1-43B5-8103-95D6D6702D98}"/>
    <dgm:cxn modelId="{CDE95403-6EED-42F8-9CFD-6AD92CDB243D}" type="presOf" srcId="{34ED9A8A-6561-4FB1-8363-A217D46FCADC}" destId="{3A5AE4AD-C1B6-498A-AE7C-BAE748ABFD54}" srcOrd="0" destOrd="0" presId="urn:microsoft.com/office/officeart/2005/8/layout/hierarchy2"/>
    <dgm:cxn modelId="{810540DB-091A-4847-911B-67BB82A3779C}" type="presOf" srcId="{63A88CA9-B643-44E1-A139-CA43F275F9BE}" destId="{F26145B0-48B8-4F61-A0CF-857AB694BE4A}" srcOrd="1" destOrd="0" presId="urn:microsoft.com/office/officeart/2005/8/layout/hierarchy2"/>
    <dgm:cxn modelId="{1D0182E3-46E4-46D8-9188-96691D5941C9}" type="presOf" srcId="{7D57E214-3E89-49F5-A27B-82A559D42ABD}" destId="{2EEECF7A-4239-4287-BADA-E5E4E94A2F91}" srcOrd="1" destOrd="0" presId="urn:microsoft.com/office/officeart/2005/8/layout/hierarchy2"/>
    <dgm:cxn modelId="{4E1B8284-9871-4FDB-A3D5-5441CB331ABF}" type="presOf" srcId="{7A614B73-5C40-4AC6-BD12-B6C969AFB977}" destId="{E5CD9143-BDA0-4E85-8BB0-589310756603}" srcOrd="0" destOrd="0" presId="urn:microsoft.com/office/officeart/2005/8/layout/hierarchy2"/>
    <dgm:cxn modelId="{27B83A70-56D8-48DE-8FD9-A04EE78F3BE6}" type="presOf" srcId="{A143FCA3-861B-4AC5-A882-414684A5C863}" destId="{14199023-2042-4801-AC0A-576F2A4B74AB}" srcOrd="0" destOrd="0" presId="urn:microsoft.com/office/officeart/2005/8/layout/hierarchy2"/>
    <dgm:cxn modelId="{B43437EC-9B66-4C5F-8942-3243194991E7}" type="presOf" srcId="{FCE815C5-D18E-435A-BD2B-E1F161D727E4}" destId="{AAF68882-4B60-4ACF-9BCA-5281E1B9C05E}" srcOrd="0" destOrd="0" presId="urn:microsoft.com/office/officeart/2005/8/layout/hierarchy2"/>
    <dgm:cxn modelId="{1E7879F6-7979-41A9-AE9F-47C66792B12B}" type="presOf" srcId="{FA78330F-AB8C-4F35-BFCF-5E24F42E9898}" destId="{F9C46582-6052-4102-85FD-9518D800748D}" srcOrd="0" destOrd="0" presId="urn:microsoft.com/office/officeart/2005/8/layout/hierarchy2"/>
    <dgm:cxn modelId="{3F54F57B-69B7-41A9-BFC8-9B9C95567D8B}" srcId="{CDA87C97-652F-412D-BC8E-86DF641B437D}" destId="{5F8ABF5B-0772-432E-9D9C-EBFFBEF2E937}" srcOrd="0" destOrd="0" parTransId="{D93C850D-7D78-4A12-915A-9F56074BB74C}" sibTransId="{A6AE55D5-7FFA-4740-869C-2D30453FBB3B}"/>
    <dgm:cxn modelId="{833FCA1E-FA12-4522-8FBD-9C9E6D83C14D}" srcId="{5CB3E75B-6B16-41A0-ACF4-83F3D1431765}" destId="{B0B834A7-3905-4F92-9BA7-7AAF9895B6D4}" srcOrd="0" destOrd="0" parTransId="{9FF72F19-ED3E-4E58-8F02-58F1927D143B}" sibTransId="{74F810DD-D182-418C-8187-0B5277B7B36F}"/>
    <dgm:cxn modelId="{E93A8294-4925-482A-A4EC-8A81338F38D2}" type="presOf" srcId="{B46D3D8D-3ACF-466A-BB0B-C64C0B34ED44}" destId="{01AD7C79-5B9B-4976-9E20-EF110A64DCBF}" srcOrd="0" destOrd="0" presId="urn:microsoft.com/office/officeart/2005/8/layout/hierarchy2"/>
    <dgm:cxn modelId="{15858543-2F0A-4181-A789-BD60BF92B0F3}" type="presOf" srcId="{6146E3B1-3246-4B2A-A6BB-E099FDD6EB9C}" destId="{BB3B3672-94B0-4923-B362-D3C8B3CAA888}" srcOrd="0" destOrd="0" presId="urn:microsoft.com/office/officeart/2005/8/layout/hierarchy2"/>
    <dgm:cxn modelId="{13B0E8DC-80A2-4D2C-9364-EB5C6015D034}" type="presOf" srcId="{897BF35F-E098-470B-8C65-97221DF4C703}" destId="{0DFF70AC-409D-437C-89F7-A2740CBE5343}" srcOrd="0" destOrd="0" presId="urn:microsoft.com/office/officeart/2005/8/layout/hierarchy2"/>
    <dgm:cxn modelId="{0DBB5952-F78E-4B7B-B710-85DBCCE69007}" type="presOf" srcId="{63A88CA9-B643-44E1-A139-CA43F275F9BE}" destId="{553A6445-4C07-46A1-8944-BA833A9E6766}" srcOrd="0" destOrd="0" presId="urn:microsoft.com/office/officeart/2005/8/layout/hierarchy2"/>
    <dgm:cxn modelId="{5E6FE02A-25E9-464E-AEDB-76CF27A46AC0}" srcId="{E485855D-2F77-463F-8696-79B1C2423B88}" destId="{9A0D7B31-10A8-463E-937F-E13904A87FEE}" srcOrd="0" destOrd="0" parTransId="{DFFC80FE-8CE6-4D31-AFC7-21DED63FC0BD}" sibTransId="{7548CC88-98C3-4851-8878-7638723E2975}"/>
    <dgm:cxn modelId="{A3253391-FF5C-4110-B3F1-996FD4FBE597}" srcId="{7A614B73-5C40-4AC6-BD12-B6C969AFB977}" destId="{D0AEC066-F128-41AC-8510-ADF068F5DE87}" srcOrd="5" destOrd="0" parTransId="{A143FCA3-861B-4AC5-A882-414684A5C863}" sibTransId="{2587999A-0714-41AE-84C0-294B070CEB4F}"/>
    <dgm:cxn modelId="{BC78D2EB-DFC4-41C9-B603-EB69A5C1D706}" srcId="{7A614B73-5C40-4AC6-BD12-B6C969AFB977}" destId="{FA78330F-AB8C-4F35-BFCF-5E24F42E9898}" srcOrd="3" destOrd="0" parTransId="{88AB0BCB-9B38-4B1F-807C-2A0E28C165F3}" sibTransId="{5DD635E4-5326-4F9F-8E3B-877673D3D5F8}"/>
    <dgm:cxn modelId="{373F00AB-0B0B-4BA8-8C42-493A8006CDC2}" srcId="{2A2AD1C8-4DE5-4D56-A12F-64D7DC2B1273}" destId="{44816AC2-6026-425C-9F35-882D4B6BA39C}" srcOrd="0" destOrd="0" parTransId="{85BE70C2-0A7C-416C-B80A-B4E8E29E5671}" sibTransId="{1FBCA0AF-6376-4D56-9243-2CAE6A6E9646}"/>
    <dgm:cxn modelId="{7F21B9CD-3F1A-4D65-8233-EBB72B3CDEC6}" type="presOf" srcId="{479B3868-0A95-4153-933A-4FCDAE6E5B1F}" destId="{D6394156-4652-4AB8-BFAE-F5416242F698}" srcOrd="1" destOrd="0" presId="urn:microsoft.com/office/officeart/2005/8/layout/hierarchy2"/>
    <dgm:cxn modelId="{7C10E408-8BE4-4133-9854-70C0DE6E4714}" type="presOf" srcId="{5F8ABF5B-0772-432E-9D9C-EBFFBEF2E937}" destId="{EAE040E1-0C84-4555-9E2C-E2348656D9DB}" srcOrd="0" destOrd="0" presId="urn:microsoft.com/office/officeart/2005/8/layout/hierarchy2"/>
    <dgm:cxn modelId="{EEC5C46E-1D92-47DA-A293-8EEF2DF39D22}" type="presOf" srcId="{FE4EB8CE-021A-4F61-A2A1-5482BA12ABD4}" destId="{8639C9D9-798C-422F-9E59-BD5E540A31C9}" srcOrd="1" destOrd="0" presId="urn:microsoft.com/office/officeart/2005/8/layout/hierarchy2"/>
    <dgm:cxn modelId="{DFEBB105-F162-40B8-AECC-C801053DA5CD}" type="presOf" srcId="{248E72CB-ED78-4D37-B5EA-BB87ED33ED7D}" destId="{B06B532F-8969-42D6-8A56-F59D27145916}" srcOrd="0" destOrd="0" presId="urn:microsoft.com/office/officeart/2005/8/layout/hierarchy2"/>
    <dgm:cxn modelId="{5A4FF7AF-319E-4EC3-A4C9-66F465CBBB13}" type="presOf" srcId="{08B8E453-238A-441F-82DB-485A15E8D129}" destId="{B5946233-0D26-4621-8182-583CCE9F66F4}" srcOrd="1" destOrd="0" presId="urn:microsoft.com/office/officeart/2005/8/layout/hierarchy2"/>
    <dgm:cxn modelId="{FD757136-FB78-4A56-A9C2-815CB177E37C}" type="presOf" srcId="{8CF49386-612D-4188-8925-5C7DBDA04B32}" destId="{A008274B-8819-4B1F-8527-415FC9B1573D}" srcOrd="0" destOrd="0" presId="urn:microsoft.com/office/officeart/2005/8/layout/hierarchy2"/>
    <dgm:cxn modelId="{E6DD886F-D853-4388-ABD7-E001122E32B4}" type="presOf" srcId="{A143FCA3-861B-4AC5-A882-414684A5C863}" destId="{392CD15A-46DD-454D-A78D-48409D119541}" srcOrd="1" destOrd="0" presId="urn:microsoft.com/office/officeart/2005/8/layout/hierarchy2"/>
    <dgm:cxn modelId="{2248A681-57B8-428E-B191-02883399E9EB}" type="presOf" srcId="{228BD240-FD24-48CF-9BD2-F13A53343C1E}" destId="{38BD3B21-9B36-42E4-902C-2E2BFC04B4A0}" srcOrd="0" destOrd="0" presId="urn:microsoft.com/office/officeart/2005/8/layout/hierarchy2"/>
    <dgm:cxn modelId="{13FBAD9F-5E5D-43D8-A7BA-FCAEF8D75D22}" type="presOf" srcId="{5CB3E75B-6B16-41A0-ACF4-83F3D1431765}" destId="{989486B0-A81F-4D4A-8B9E-2DE0A23310EB}" srcOrd="0" destOrd="0" presId="urn:microsoft.com/office/officeart/2005/8/layout/hierarchy2"/>
    <dgm:cxn modelId="{20F3E495-0F28-4EDC-9CA3-A7562D3077EE}" type="presOf" srcId="{2A2AD1C8-4DE5-4D56-A12F-64D7DC2B1273}" destId="{D50EC4FB-4514-43B2-BBA8-11716ABB7C2E}" srcOrd="0" destOrd="0" presId="urn:microsoft.com/office/officeart/2005/8/layout/hierarchy2"/>
    <dgm:cxn modelId="{B436685F-6B3C-4D5C-B132-655C2B112351}" type="presOf" srcId="{F106BE7E-EB7B-4CDC-84EC-537F08EEBB76}" destId="{985F063E-9DAE-4EB8-9218-95F170B7F559}" srcOrd="1" destOrd="0" presId="urn:microsoft.com/office/officeart/2005/8/layout/hierarchy2"/>
    <dgm:cxn modelId="{6C89D338-9E44-46F1-A1C0-0264043424B3}" type="presOf" srcId="{08B8E453-238A-441F-82DB-485A15E8D129}" destId="{CEDD12E0-8D29-4563-A7E6-C87464DA4415}" srcOrd="0" destOrd="0" presId="urn:microsoft.com/office/officeart/2005/8/layout/hierarchy2"/>
    <dgm:cxn modelId="{EFDCEDF9-112E-454A-B4B5-92C3EE542E44}" type="presOf" srcId="{5334419E-60FC-4E77-90E7-648D7A311593}" destId="{D64F7A9C-9A6E-4B76-81D0-B20DC51055FE}" srcOrd="1" destOrd="0" presId="urn:microsoft.com/office/officeart/2005/8/layout/hierarchy2"/>
    <dgm:cxn modelId="{54160C40-83A0-4D2D-98B6-6FAE1E90817E}" type="presParOf" srcId="{D50EC4FB-4514-43B2-BBA8-11716ABB7C2E}" destId="{5F9FC706-14EC-46CB-ABE2-C37246BBE554}" srcOrd="0" destOrd="0" presId="urn:microsoft.com/office/officeart/2005/8/layout/hierarchy2"/>
    <dgm:cxn modelId="{6F2FC87D-2435-436C-A886-D4BE73D752FD}" type="presParOf" srcId="{5F9FC706-14EC-46CB-ABE2-C37246BBE554}" destId="{C852C0F5-016C-4036-9C8E-8FEF9E087CAA}" srcOrd="0" destOrd="0" presId="urn:microsoft.com/office/officeart/2005/8/layout/hierarchy2"/>
    <dgm:cxn modelId="{F4C0C100-FA23-41C2-89CD-45C1F859C415}" type="presParOf" srcId="{5F9FC706-14EC-46CB-ABE2-C37246BBE554}" destId="{AB4D0A82-4641-4D8D-82B8-D762D6824BE0}" srcOrd="1" destOrd="0" presId="urn:microsoft.com/office/officeart/2005/8/layout/hierarchy2"/>
    <dgm:cxn modelId="{1AF96939-0E80-4108-BFAA-E6D8D2D3ED45}" type="presParOf" srcId="{AB4D0A82-4641-4D8D-82B8-D762D6824BE0}" destId="{AC504C64-792E-4E1B-BDF5-A16CD384AF5F}" srcOrd="0" destOrd="0" presId="urn:microsoft.com/office/officeart/2005/8/layout/hierarchy2"/>
    <dgm:cxn modelId="{E0372D6E-5C90-4C50-8670-7A2CAB411032}" type="presParOf" srcId="{AC504C64-792E-4E1B-BDF5-A16CD384AF5F}" destId="{642ACAD2-0C0C-41D3-87BF-690E3BB8D6C2}" srcOrd="0" destOrd="0" presId="urn:microsoft.com/office/officeart/2005/8/layout/hierarchy2"/>
    <dgm:cxn modelId="{92539CF5-8625-49DF-8DE4-1B9025835BE1}" type="presParOf" srcId="{AB4D0A82-4641-4D8D-82B8-D762D6824BE0}" destId="{78C1EB75-725C-42DE-9B7C-11BE57DDD006}" srcOrd="1" destOrd="0" presId="urn:microsoft.com/office/officeart/2005/8/layout/hierarchy2"/>
    <dgm:cxn modelId="{D8A20EEF-364E-4E10-A443-AE478867957E}" type="presParOf" srcId="{78C1EB75-725C-42DE-9B7C-11BE57DDD006}" destId="{E5CD9143-BDA0-4E85-8BB0-589310756603}" srcOrd="0" destOrd="0" presId="urn:microsoft.com/office/officeart/2005/8/layout/hierarchy2"/>
    <dgm:cxn modelId="{5F45815F-6AE2-486A-85FF-90D15011A906}" type="presParOf" srcId="{78C1EB75-725C-42DE-9B7C-11BE57DDD006}" destId="{7A5C6EB3-EE2C-4EDB-BB7B-3FF8A8680572}" srcOrd="1" destOrd="0" presId="urn:microsoft.com/office/officeart/2005/8/layout/hierarchy2"/>
    <dgm:cxn modelId="{DA4C2D8D-2837-4011-9881-9AC34D27D1FA}" type="presParOf" srcId="{7A5C6EB3-EE2C-4EDB-BB7B-3FF8A8680572}" destId="{553A6445-4C07-46A1-8944-BA833A9E6766}" srcOrd="0" destOrd="0" presId="urn:microsoft.com/office/officeart/2005/8/layout/hierarchy2"/>
    <dgm:cxn modelId="{47ECB6EB-6DAB-4465-B56A-73FC4ECEA8DF}" type="presParOf" srcId="{553A6445-4C07-46A1-8944-BA833A9E6766}" destId="{F26145B0-48B8-4F61-A0CF-857AB694BE4A}" srcOrd="0" destOrd="0" presId="urn:microsoft.com/office/officeart/2005/8/layout/hierarchy2"/>
    <dgm:cxn modelId="{8D06A2FE-A6E0-4CC2-9A10-5B3367E17A9F}" type="presParOf" srcId="{7A5C6EB3-EE2C-4EDB-BB7B-3FF8A8680572}" destId="{E7AA1E2C-BB0A-494D-9C6E-097FBAD80733}" srcOrd="1" destOrd="0" presId="urn:microsoft.com/office/officeart/2005/8/layout/hierarchy2"/>
    <dgm:cxn modelId="{BA572A9B-D9EA-482C-89B7-620F54B8B28D}" type="presParOf" srcId="{E7AA1E2C-BB0A-494D-9C6E-097FBAD80733}" destId="{3A5AE4AD-C1B6-498A-AE7C-BAE748ABFD54}" srcOrd="0" destOrd="0" presId="urn:microsoft.com/office/officeart/2005/8/layout/hierarchy2"/>
    <dgm:cxn modelId="{F8BCCB57-ECE0-4559-8470-CB46C5A4FBD4}" type="presParOf" srcId="{E7AA1E2C-BB0A-494D-9C6E-097FBAD80733}" destId="{7851C597-FD32-4C79-8BFC-19D2332EAC03}" srcOrd="1" destOrd="0" presId="urn:microsoft.com/office/officeart/2005/8/layout/hierarchy2"/>
    <dgm:cxn modelId="{A075A8CC-5EC3-4B32-A3AC-80B4AE21B0C1}" type="presParOf" srcId="{7851C597-FD32-4C79-8BFC-19D2332EAC03}" destId="{B06B532F-8969-42D6-8A56-F59D27145916}" srcOrd="0" destOrd="0" presId="urn:microsoft.com/office/officeart/2005/8/layout/hierarchy2"/>
    <dgm:cxn modelId="{24BE1D52-64C4-4E22-A949-4DD907FD041E}" type="presParOf" srcId="{B06B532F-8969-42D6-8A56-F59D27145916}" destId="{BE524EFB-89C8-47B7-91B6-0613B76F151D}" srcOrd="0" destOrd="0" presId="urn:microsoft.com/office/officeart/2005/8/layout/hierarchy2"/>
    <dgm:cxn modelId="{FA77DD91-7D50-4063-AC4F-CB33544E07CA}" type="presParOf" srcId="{7851C597-FD32-4C79-8BFC-19D2332EAC03}" destId="{E1EE34BD-7C0A-44C3-B2CC-D98FF905A9AD}" srcOrd="1" destOrd="0" presId="urn:microsoft.com/office/officeart/2005/8/layout/hierarchy2"/>
    <dgm:cxn modelId="{E450A292-B9F3-4B59-BE90-D4B9F02D0C95}" type="presParOf" srcId="{E1EE34BD-7C0A-44C3-B2CC-D98FF905A9AD}" destId="{A6BBF191-9995-4673-8726-F82C88F19B54}" srcOrd="0" destOrd="0" presId="urn:microsoft.com/office/officeart/2005/8/layout/hierarchy2"/>
    <dgm:cxn modelId="{C282A179-C8C5-42F4-89C1-53328AF3F1C5}" type="presParOf" srcId="{E1EE34BD-7C0A-44C3-B2CC-D98FF905A9AD}" destId="{2547F89A-4DDF-4454-85D7-EB9E64E5CB78}" srcOrd="1" destOrd="0" presId="urn:microsoft.com/office/officeart/2005/8/layout/hierarchy2"/>
    <dgm:cxn modelId="{E0E7602F-8634-47BC-BA92-9248C0325728}" type="presParOf" srcId="{7A5C6EB3-EE2C-4EDB-BB7B-3FF8A8680572}" destId="{B3677306-3067-404F-B003-A6A8BD39CD50}" srcOrd="2" destOrd="0" presId="urn:microsoft.com/office/officeart/2005/8/layout/hierarchy2"/>
    <dgm:cxn modelId="{8A4C7B86-E230-42B2-B958-114BB34B260B}" type="presParOf" srcId="{B3677306-3067-404F-B003-A6A8BD39CD50}" destId="{D64F7A9C-9A6E-4B76-81D0-B20DC51055FE}" srcOrd="0" destOrd="0" presId="urn:microsoft.com/office/officeart/2005/8/layout/hierarchy2"/>
    <dgm:cxn modelId="{812FCBA4-0076-4882-A531-A9012FCC4ED3}" type="presParOf" srcId="{7A5C6EB3-EE2C-4EDB-BB7B-3FF8A8680572}" destId="{389E9279-E8EF-4295-B578-58BE9B2F0780}" srcOrd="3" destOrd="0" presId="urn:microsoft.com/office/officeart/2005/8/layout/hierarchy2"/>
    <dgm:cxn modelId="{1F68A946-9E98-42B9-A45E-A18A227AC689}" type="presParOf" srcId="{389E9279-E8EF-4295-B578-58BE9B2F0780}" destId="{4EC3A0EF-AFE4-41BE-A202-3C67E270738F}" srcOrd="0" destOrd="0" presId="urn:microsoft.com/office/officeart/2005/8/layout/hierarchy2"/>
    <dgm:cxn modelId="{52C6496C-7C26-43EA-AC1C-BA16C8D0489B}" type="presParOf" srcId="{389E9279-E8EF-4295-B578-58BE9B2F0780}" destId="{4B0D67F2-99A9-488A-9592-986D4CAE09B6}" srcOrd="1" destOrd="0" presId="urn:microsoft.com/office/officeart/2005/8/layout/hierarchy2"/>
    <dgm:cxn modelId="{92D976C4-58DD-4ED5-913C-42935C741C0C}" type="presParOf" srcId="{4B0D67F2-99A9-488A-9592-986D4CAE09B6}" destId="{9D6B8360-78B0-441F-8CA0-E0E725095AB8}" srcOrd="0" destOrd="0" presId="urn:microsoft.com/office/officeart/2005/8/layout/hierarchy2"/>
    <dgm:cxn modelId="{6BF35380-B1FC-4544-B9D0-9BE014F3AACF}" type="presParOf" srcId="{9D6B8360-78B0-441F-8CA0-E0E725095AB8}" destId="{F09D1188-EC90-42DA-B4D5-4790C9E437E8}" srcOrd="0" destOrd="0" presId="urn:microsoft.com/office/officeart/2005/8/layout/hierarchy2"/>
    <dgm:cxn modelId="{4F2CC515-4AB6-48C6-822E-2F0D1C667D1F}" type="presParOf" srcId="{4B0D67F2-99A9-488A-9592-986D4CAE09B6}" destId="{EF2DABA7-6879-42E0-B08B-73B817CC3574}" srcOrd="1" destOrd="0" presId="urn:microsoft.com/office/officeart/2005/8/layout/hierarchy2"/>
    <dgm:cxn modelId="{42941173-400F-4493-BAB4-2694E4410AED}" type="presParOf" srcId="{EF2DABA7-6879-42E0-B08B-73B817CC3574}" destId="{EAE040E1-0C84-4555-9E2C-E2348656D9DB}" srcOrd="0" destOrd="0" presId="urn:microsoft.com/office/officeart/2005/8/layout/hierarchy2"/>
    <dgm:cxn modelId="{C476D2B9-95D5-4EB1-BDC5-1AD361F17E08}" type="presParOf" srcId="{EF2DABA7-6879-42E0-B08B-73B817CC3574}" destId="{F09B09F4-0DD8-4FD2-96F3-0FDD4C0F0DFE}" srcOrd="1" destOrd="0" presId="urn:microsoft.com/office/officeart/2005/8/layout/hierarchy2"/>
    <dgm:cxn modelId="{93FAD94B-28C8-4DA4-BAB2-D19AFC55CC78}" type="presParOf" srcId="{7A5C6EB3-EE2C-4EDB-BB7B-3FF8A8680572}" destId="{02369F28-EA80-4F20-8A8E-B00DF1979D88}" srcOrd="4" destOrd="0" presId="urn:microsoft.com/office/officeart/2005/8/layout/hierarchy2"/>
    <dgm:cxn modelId="{FD2652D6-760C-4F3A-8336-74027EBC3F14}" type="presParOf" srcId="{02369F28-EA80-4F20-8A8E-B00DF1979D88}" destId="{2EEECF7A-4239-4287-BADA-E5E4E94A2F91}" srcOrd="0" destOrd="0" presId="urn:microsoft.com/office/officeart/2005/8/layout/hierarchy2"/>
    <dgm:cxn modelId="{C029DE40-4973-4A95-A10B-807A5CD3EEE9}" type="presParOf" srcId="{7A5C6EB3-EE2C-4EDB-BB7B-3FF8A8680572}" destId="{7128A026-FC7A-4D81-9923-597CC797EEC4}" srcOrd="5" destOrd="0" presId="urn:microsoft.com/office/officeart/2005/8/layout/hierarchy2"/>
    <dgm:cxn modelId="{8E6AD1D5-DDAF-47A5-B3A4-FBFCDFCCE67F}" type="presParOf" srcId="{7128A026-FC7A-4D81-9923-597CC797EEC4}" destId="{6D8617E7-4859-460C-85AE-EB5068CD5BFC}" srcOrd="0" destOrd="0" presId="urn:microsoft.com/office/officeart/2005/8/layout/hierarchy2"/>
    <dgm:cxn modelId="{73CEC691-367D-4E44-98E1-1D7B913214B7}" type="presParOf" srcId="{7128A026-FC7A-4D81-9923-597CC797EEC4}" destId="{3CAC36F8-FA76-4B51-9C59-82084951FE4C}" srcOrd="1" destOrd="0" presId="urn:microsoft.com/office/officeart/2005/8/layout/hierarchy2"/>
    <dgm:cxn modelId="{91460BB9-92D1-41E0-BC36-6DB52E21276B}" type="presParOf" srcId="{3CAC36F8-FA76-4B51-9C59-82084951FE4C}" destId="{74D85A5E-3DB9-49AB-B734-799C48DB509E}" srcOrd="0" destOrd="0" presId="urn:microsoft.com/office/officeart/2005/8/layout/hierarchy2"/>
    <dgm:cxn modelId="{D1DF86AC-D34F-462D-A786-7C4F00E58043}" type="presParOf" srcId="{74D85A5E-3DB9-49AB-B734-799C48DB509E}" destId="{B3D7352F-9695-4962-A423-8278418928F7}" srcOrd="0" destOrd="0" presId="urn:microsoft.com/office/officeart/2005/8/layout/hierarchy2"/>
    <dgm:cxn modelId="{59380A32-73A0-4795-9FAA-CD85FE981DFF}" type="presParOf" srcId="{3CAC36F8-FA76-4B51-9C59-82084951FE4C}" destId="{66040869-8C86-47E4-83DE-4207397614EA}" srcOrd="1" destOrd="0" presId="urn:microsoft.com/office/officeart/2005/8/layout/hierarchy2"/>
    <dgm:cxn modelId="{96A6B961-E9E8-421B-BABE-E7D47D45C939}" type="presParOf" srcId="{66040869-8C86-47E4-83DE-4207397614EA}" destId="{A008274B-8819-4B1F-8527-415FC9B1573D}" srcOrd="0" destOrd="0" presId="urn:microsoft.com/office/officeart/2005/8/layout/hierarchy2"/>
    <dgm:cxn modelId="{9F8644ED-8F68-43DD-A7F0-DBAB776B1EBF}" type="presParOf" srcId="{66040869-8C86-47E4-83DE-4207397614EA}" destId="{C63C3452-E496-4755-A42A-CBE893E43CA1}" srcOrd="1" destOrd="0" presId="urn:microsoft.com/office/officeart/2005/8/layout/hierarchy2"/>
    <dgm:cxn modelId="{6EE9B1FD-E8A4-40AE-9DCC-F80AE12833D0}" type="presParOf" srcId="{7A5C6EB3-EE2C-4EDB-BB7B-3FF8A8680572}" destId="{446B30B4-095C-4890-BBDA-8C23B7967814}" srcOrd="6" destOrd="0" presId="urn:microsoft.com/office/officeart/2005/8/layout/hierarchy2"/>
    <dgm:cxn modelId="{A0666214-9310-4769-91C0-1EA83E64D967}" type="presParOf" srcId="{446B30B4-095C-4890-BBDA-8C23B7967814}" destId="{48EEAC4D-2AC7-4A83-A9B4-6C4A462A333B}" srcOrd="0" destOrd="0" presId="urn:microsoft.com/office/officeart/2005/8/layout/hierarchy2"/>
    <dgm:cxn modelId="{40C9DCC8-2F0A-42A5-81B6-878F251327C0}" type="presParOf" srcId="{7A5C6EB3-EE2C-4EDB-BB7B-3FF8A8680572}" destId="{8FCFB345-483F-49C3-8EAD-9B49D682BC60}" srcOrd="7" destOrd="0" presId="urn:microsoft.com/office/officeart/2005/8/layout/hierarchy2"/>
    <dgm:cxn modelId="{9CCE8EDB-6920-4772-94DE-5E46885FA27A}" type="presParOf" srcId="{8FCFB345-483F-49C3-8EAD-9B49D682BC60}" destId="{F9C46582-6052-4102-85FD-9518D800748D}" srcOrd="0" destOrd="0" presId="urn:microsoft.com/office/officeart/2005/8/layout/hierarchy2"/>
    <dgm:cxn modelId="{4368A7E9-782D-49AC-A5D8-494E12CF76D5}" type="presParOf" srcId="{8FCFB345-483F-49C3-8EAD-9B49D682BC60}" destId="{1FEE6E1F-1670-45DC-B01B-C006E24D8401}" srcOrd="1" destOrd="0" presId="urn:microsoft.com/office/officeart/2005/8/layout/hierarchy2"/>
    <dgm:cxn modelId="{32431208-E490-4DDF-80DC-6212FA7E3B6F}" type="presParOf" srcId="{1FEE6E1F-1670-45DC-B01B-C006E24D8401}" destId="{A7B49BC9-D4A0-401C-8A97-8F23391994CE}" srcOrd="0" destOrd="0" presId="urn:microsoft.com/office/officeart/2005/8/layout/hierarchy2"/>
    <dgm:cxn modelId="{37B429B9-CD8D-41E7-869D-9B9B18502461}" type="presParOf" srcId="{A7B49BC9-D4A0-401C-8A97-8F23391994CE}" destId="{67988220-A3F4-4EF5-B218-576D95205F7F}" srcOrd="0" destOrd="0" presId="urn:microsoft.com/office/officeart/2005/8/layout/hierarchy2"/>
    <dgm:cxn modelId="{E9BF34D2-40EE-496C-9D50-9A1C651AA43C}" type="presParOf" srcId="{1FEE6E1F-1670-45DC-B01B-C006E24D8401}" destId="{31C1775C-03F0-4EE0-BFD1-7398C4B93E19}" srcOrd="1" destOrd="0" presId="urn:microsoft.com/office/officeart/2005/8/layout/hierarchy2"/>
    <dgm:cxn modelId="{4B0183A0-9FD2-4A03-832A-D767C9AD7C4B}" type="presParOf" srcId="{31C1775C-03F0-4EE0-BFD1-7398C4B93E19}" destId="{0DFF70AC-409D-437C-89F7-A2740CBE5343}" srcOrd="0" destOrd="0" presId="urn:microsoft.com/office/officeart/2005/8/layout/hierarchy2"/>
    <dgm:cxn modelId="{B4482864-9F07-4C0A-BBBA-428B88BAC494}" type="presParOf" srcId="{31C1775C-03F0-4EE0-BFD1-7398C4B93E19}" destId="{B8F5B81B-5482-4038-A5EB-7C967C239368}" srcOrd="1" destOrd="0" presId="urn:microsoft.com/office/officeart/2005/8/layout/hierarchy2"/>
    <dgm:cxn modelId="{B82761CA-E4E7-40EE-BD3D-4970C8769A03}" type="presParOf" srcId="{7A5C6EB3-EE2C-4EDB-BB7B-3FF8A8680572}" destId="{88097B2E-4643-4782-97DD-396397E240C3}" srcOrd="8" destOrd="0" presId="urn:microsoft.com/office/officeart/2005/8/layout/hierarchy2"/>
    <dgm:cxn modelId="{500E379F-9D56-47F3-B7E5-CF0D91F8E711}" type="presParOf" srcId="{88097B2E-4643-4782-97DD-396397E240C3}" destId="{D6394156-4652-4AB8-BFAE-F5416242F698}" srcOrd="0" destOrd="0" presId="urn:microsoft.com/office/officeart/2005/8/layout/hierarchy2"/>
    <dgm:cxn modelId="{0073341E-AB00-4D95-B424-482F8BC784B2}" type="presParOf" srcId="{7A5C6EB3-EE2C-4EDB-BB7B-3FF8A8680572}" destId="{A23DA1F2-B2DB-4F32-9DBB-1076B46A16B7}" srcOrd="9" destOrd="0" presId="urn:microsoft.com/office/officeart/2005/8/layout/hierarchy2"/>
    <dgm:cxn modelId="{D2A6A3B5-B135-4FBC-9442-3ABF946B0F16}" type="presParOf" srcId="{A23DA1F2-B2DB-4F32-9DBB-1076B46A16B7}" destId="{BF5206FE-E3C6-4883-8B72-25C43AF6E90B}" srcOrd="0" destOrd="0" presId="urn:microsoft.com/office/officeart/2005/8/layout/hierarchy2"/>
    <dgm:cxn modelId="{641D8DFD-3E56-4EF4-A422-525DB2D3E908}" type="presParOf" srcId="{A23DA1F2-B2DB-4F32-9DBB-1076B46A16B7}" destId="{9DA80592-F9FC-48B0-8A4E-B51EE27BBCA6}" srcOrd="1" destOrd="0" presId="urn:microsoft.com/office/officeart/2005/8/layout/hierarchy2"/>
    <dgm:cxn modelId="{FF719C79-690E-4737-AE8D-065A55C7D1CB}" type="presParOf" srcId="{9DA80592-F9FC-48B0-8A4E-B51EE27BBCA6}" destId="{92953001-902D-4451-B840-0A760B968D69}" srcOrd="0" destOrd="0" presId="urn:microsoft.com/office/officeart/2005/8/layout/hierarchy2"/>
    <dgm:cxn modelId="{71BAE164-B0BC-451B-A5C7-A52ED1E1365F}" type="presParOf" srcId="{92953001-902D-4451-B840-0A760B968D69}" destId="{C13BBB1F-7121-48A6-A2DA-6F3EC958E430}" srcOrd="0" destOrd="0" presId="urn:microsoft.com/office/officeart/2005/8/layout/hierarchy2"/>
    <dgm:cxn modelId="{51EA132D-F842-4013-AADA-A88CA83111E1}" type="presParOf" srcId="{9DA80592-F9FC-48B0-8A4E-B51EE27BBCA6}" destId="{3885BE01-1BA2-44B8-ABCC-4292C830F3F7}" srcOrd="1" destOrd="0" presId="urn:microsoft.com/office/officeart/2005/8/layout/hierarchy2"/>
    <dgm:cxn modelId="{1FCB949D-C0E7-4C0F-B4D3-A2F8645DA769}" type="presParOf" srcId="{3885BE01-1BA2-44B8-ABCC-4292C830F3F7}" destId="{C7929A37-87A7-4417-BCCA-56721FD8FCC2}" srcOrd="0" destOrd="0" presId="urn:microsoft.com/office/officeart/2005/8/layout/hierarchy2"/>
    <dgm:cxn modelId="{42B0E6C9-7709-453B-AC41-B2CCCB51FB13}" type="presParOf" srcId="{3885BE01-1BA2-44B8-ABCC-4292C830F3F7}" destId="{57FA1837-5EC4-495C-A236-D102A0A40A49}" srcOrd="1" destOrd="0" presId="urn:microsoft.com/office/officeart/2005/8/layout/hierarchy2"/>
    <dgm:cxn modelId="{576394F4-42B9-4EA1-8152-291FBD5FA254}" type="presParOf" srcId="{7A5C6EB3-EE2C-4EDB-BB7B-3FF8A8680572}" destId="{14199023-2042-4801-AC0A-576F2A4B74AB}" srcOrd="10" destOrd="0" presId="urn:microsoft.com/office/officeart/2005/8/layout/hierarchy2"/>
    <dgm:cxn modelId="{BAAA6292-85E8-4F3A-AE78-D387121B4037}" type="presParOf" srcId="{14199023-2042-4801-AC0A-576F2A4B74AB}" destId="{392CD15A-46DD-454D-A78D-48409D119541}" srcOrd="0" destOrd="0" presId="urn:microsoft.com/office/officeart/2005/8/layout/hierarchy2"/>
    <dgm:cxn modelId="{75041290-40C5-45D1-83E8-ADC4291428B8}" type="presParOf" srcId="{7A5C6EB3-EE2C-4EDB-BB7B-3FF8A8680572}" destId="{0CBA6F7C-5B69-4E36-A3BC-70F981B21511}" srcOrd="11" destOrd="0" presId="urn:microsoft.com/office/officeart/2005/8/layout/hierarchy2"/>
    <dgm:cxn modelId="{C008ED5C-8E65-403F-B7F1-87FEFDD247D7}" type="presParOf" srcId="{0CBA6F7C-5B69-4E36-A3BC-70F981B21511}" destId="{8E39CE72-A54A-40C1-866B-642AE744CED7}" srcOrd="0" destOrd="0" presId="urn:microsoft.com/office/officeart/2005/8/layout/hierarchy2"/>
    <dgm:cxn modelId="{E6C520A6-68DB-48DF-8FDD-165CD08B5CB2}" type="presParOf" srcId="{0CBA6F7C-5B69-4E36-A3BC-70F981B21511}" destId="{1DA229EE-3466-4C7F-A892-D75C5D8E6205}" srcOrd="1" destOrd="0" presId="urn:microsoft.com/office/officeart/2005/8/layout/hierarchy2"/>
    <dgm:cxn modelId="{40660934-98B5-45C4-975E-241CE9C95D38}" type="presParOf" srcId="{1DA229EE-3466-4C7F-A892-D75C5D8E6205}" destId="{BC0DE7FA-0497-4400-A7AA-A91DEE3AF204}" srcOrd="0" destOrd="0" presId="urn:microsoft.com/office/officeart/2005/8/layout/hierarchy2"/>
    <dgm:cxn modelId="{9212F775-2002-4C78-9901-83BA98D65535}" type="presParOf" srcId="{BC0DE7FA-0497-4400-A7AA-A91DEE3AF204}" destId="{985F063E-9DAE-4EB8-9218-95F170B7F559}" srcOrd="0" destOrd="0" presId="urn:microsoft.com/office/officeart/2005/8/layout/hierarchy2"/>
    <dgm:cxn modelId="{ADAFB5FD-8CD9-41D3-9A63-913FE96476D9}" type="presParOf" srcId="{1DA229EE-3466-4C7F-A892-D75C5D8E6205}" destId="{5FCE35D4-1491-4119-BB39-FF579B9E283B}" srcOrd="1" destOrd="0" presId="urn:microsoft.com/office/officeart/2005/8/layout/hierarchy2"/>
    <dgm:cxn modelId="{A8C4D8EF-2878-4AF1-ACEB-F5709D1EA878}" type="presParOf" srcId="{5FCE35D4-1491-4119-BB39-FF579B9E283B}" destId="{AAF68882-4B60-4ACF-9BCA-5281E1B9C05E}" srcOrd="0" destOrd="0" presId="urn:microsoft.com/office/officeart/2005/8/layout/hierarchy2"/>
    <dgm:cxn modelId="{CB893DF8-0BD2-4009-824C-7B7D0C799183}" type="presParOf" srcId="{5FCE35D4-1491-4119-BB39-FF579B9E283B}" destId="{C1A2765F-2A17-4346-89A5-D0380D3B6241}" srcOrd="1" destOrd="0" presId="urn:microsoft.com/office/officeart/2005/8/layout/hierarchy2"/>
    <dgm:cxn modelId="{CD860480-F49E-49F0-8766-98004E598BCB}" type="presParOf" srcId="{7A5C6EB3-EE2C-4EDB-BB7B-3FF8A8680572}" destId="{C656B832-B7DD-458E-BA28-13CE8CF9DC00}" srcOrd="12" destOrd="0" presId="urn:microsoft.com/office/officeart/2005/8/layout/hierarchy2"/>
    <dgm:cxn modelId="{3B0BEF1E-47F6-48CC-B640-9851DAC195B0}" type="presParOf" srcId="{C656B832-B7DD-458E-BA28-13CE8CF9DC00}" destId="{8639C9D9-798C-422F-9E59-BD5E540A31C9}" srcOrd="0" destOrd="0" presId="urn:microsoft.com/office/officeart/2005/8/layout/hierarchy2"/>
    <dgm:cxn modelId="{FE061C35-8FBD-4CCA-9868-4D729A68C1C5}" type="presParOf" srcId="{7A5C6EB3-EE2C-4EDB-BB7B-3FF8A8680572}" destId="{42F7E9BA-EB9D-4C60-83BA-3E73CA9360D6}" srcOrd="13" destOrd="0" presId="urn:microsoft.com/office/officeart/2005/8/layout/hierarchy2"/>
    <dgm:cxn modelId="{7BEC2E65-7130-4CCF-AF18-E2B047DD1A2A}" type="presParOf" srcId="{42F7E9BA-EB9D-4C60-83BA-3E73CA9360D6}" destId="{9DD42457-605E-415A-9D13-6BA7A02D505D}" srcOrd="0" destOrd="0" presId="urn:microsoft.com/office/officeart/2005/8/layout/hierarchy2"/>
    <dgm:cxn modelId="{DFB3FCD9-8C77-495C-98EE-DAB12F3FA91F}" type="presParOf" srcId="{42F7E9BA-EB9D-4C60-83BA-3E73CA9360D6}" destId="{E2B4F230-2458-4929-AF8D-13438DE2B6A4}" srcOrd="1" destOrd="0" presId="urn:microsoft.com/office/officeart/2005/8/layout/hierarchy2"/>
    <dgm:cxn modelId="{16E19A45-4E0A-48AA-9795-88403B6DC7A9}" type="presParOf" srcId="{E2B4F230-2458-4929-AF8D-13438DE2B6A4}" destId="{4B570DBA-9A82-436D-A4DE-36D76AE4D77F}" srcOrd="0" destOrd="0" presId="urn:microsoft.com/office/officeart/2005/8/layout/hierarchy2"/>
    <dgm:cxn modelId="{9B94381B-1E9C-4FE7-B163-9A8A1B6362D3}" type="presParOf" srcId="{4B570DBA-9A82-436D-A4DE-36D76AE4D77F}" destId="{1610A843-DDC5-4D67-B5BD-F6B36C76D322}" srcOrd="0" destOrd="0" presId="urn:microsoft.com/office/officeart/2005/8/layout/hierarchy2"/>
    <dgm:cxn modelId="{694EB788-1A6B-48C3-AEEB-A1B70BA7A8A0}" type="presParOf" srcId="{E2B4F230-2458-4929-AF8D-13438DE2B6A4}" destId="{7A7346F3-A815-4CA3-97F7-E684E5BEBBE9}" srcOrd="1" destOrd="0" presId="urn:microsoft.com/office/officeart/2005/8/layout/hierarchy2"/>
    <dgm:cxn modelId="{0FD861F2-7211-4909-9202-3F88D50EF920}" type="presParOf" srcId="{7A7346F3-A815-4CA3-97F7-E684E5BEBBE9}" destId="{C76199A6-F3FC-4853-91E1-FDD93617A833}" srcOrd="0" destOrd="0" presId="urn:microsoft.com/office/officeart/2005/8/layout/hierarchy2"/>
    <dgm:cxn modelId="{A0C7CB53-6AD2-4514-BAE5-F35DAD4F9F69}" type="presParOf" srcId="{7A7346F3-A815-4CA3-97F7-E684E5BEBBE9}" destId="{A1738A63-B3DC-4B6F-BAB2-BF5CA7EA4DBD}" srcOrd="1" destOrd="0" presId="urn:microsoft.com/office/officeart/2005/8/layout/hierarchy2"/>
    <dgm:cxn modelId="{B608021E-B6E7-4BFE-873F-ED7096467C61}" type="presParOf" srcId="{7A5C6EB3-EE2C-4EDB-BB7B-3FF8A8680572}" destId="{01AD7C79-5B9B-4976-9E20-EF110A64DCBF}" srcOrd="14" destOrd="0" presId="urn:microsoft.com/office/officeart/2005/8/layout/hierarchy2"/>
    <dgm:cxn modelId="{62747511-22EF-4D70-9F6A-2B140E50E8CE}" type="presParOf" srcId="{01AD7C79-5B9B-4976-9E20-EF110A64DCBF}" destId="{66228926-82E5-47F2-A2AB-B02B978E08BE}" srcOrd="0" destOrd="0" presId="urn:microsoft.com/office/officeart/2005/8/layout/hierarchy2"/>
    <dgm:cxn modelId="{D0884F61-8963-441F-AF96-3D26A679BB88}" type="presParOf" srcId="{7A5C6EB3-EE2C-4EDB-BB7B-3FF8A8680572}" destId="{29ADBF42-FD7B-4453-B02F-8D0E507C1965}" srcOrd="15" destOrd="0" presId="urn:microsoft.com/office/officeart/2005/8/layout/hierarchy2"/>
    <dgm:cxn modelId="{E15731B2-5C4B-4BB8-8FE5-C1FCF897EF4C}" type="presParOf" srcId="{29ADBF42-FD7B-4453-B02F-8D0E507C1965}" destId="{989486B0-A81F-4D4A-8B9E-2DE0A23310EB}" srcOrd="0" destOrd="0" presId="urn:microsoft.com/office/officeart/2005/8/layout/hierarchy2"/>
    <dgm:cxn modelId="{B5FE24B8-069A-4C46-B21F-ABD298448635}" type="presParOf" srcId="{29ADBF42-FD7B-4453-B02F-8D0E507C1965}" destId="{C8AF6A1D-A29A-422A-B74A-377D5CF97A38}" srcOrd="1" destOrd="0" presId="urn:microsoft.com/office/officeart/2005/8/layout/hierarchy2"/>
    <dgm:cxn modelId="{5BDEC20F-DCA6-4498-A417-91B8B6F4B8AC}" type="presParOf" srcId="{C8AF6A1D-A29A-422A-B74A-377D5CF97A38}" destId="{21942879-C5FE-4E4A-8F60-3C0303FE2BC3}" srcOrd="0" destOrd="0" presId="urn:microsoft.com/office/officeart/2005/8/layout/hierarchy2"/>
    <dgm:cxn modelId="{314AA86C-2DD5-40E8-BC67-12739EEB90DD}" type="presParOf" srcId="{21942879-C5FE-4E4A-8F60-3C0303FE2BC3}" destId="{EE7B3233-805E-4965-ABE9-30461985A19D}" srcOrd="0" destOrd="0" presId="urn:microsoft.com/office/officeart/2005/8/layout/hierarchy2"/>
    <dgm:cxn modelId="{EC493997-6259-46BE-8A96-A2B913E1EDDE}" type="presParOf" srcId="{C8AF6A1D-A29A-422A-B74A-377D5CF97A38}" destId="{DA6E9F20-CCAE-4198-8D2C-4016DED029C8}" srcOrd="1" destOrd="0" presId="urn:microsoft.com/office/officeart/2005/8/layout/hierarchy2"/>
    <dgm:cxn modelId="{AEF328FE-5352-4AE0-9A8C-7B136DD24775}" type="presParOf" srcId="{DA6E9F20-CCAE-4198-8D2C-4016DED029C8}" destId="{F1A83C29-4B02-494F-B1A0-A73B8802D5B8}" srcOrd="0" destOrd="0" presId="urn:microsoft.com/office/officeart/2005/8/layout/hierarchy2"/>
    <dgm:cxn modelId="{0ED6C789-A273-4B2F-AD83-B9D13A551276}" type="presParOf" srcId="{DA6E9F20-CCAE-4198-8D2C-4016DED029C8}" destId="{65C5CD67-A5E9-4FB9-A71E-1A6170B0DA2F}" srcOrd="1" destOrd="0" presId="urn:microsoft.com/office/officeart/2005/8/layout/hierarchy2"/>
    <dgm:cxn modelId="{2663690A-E0F3-4AE5-9D6C-3FE8AF740B13}" type="presParOf" srcId="{7A5C6EB3-EE2C-4EDB-BB7B-3FF8A8680572}" destId="{CBE4AF10-7BB3-4BF3-99AF-359CCACEED17}" srcOrd="16" destOrd="0" presId="urn:microsoft.com/office/officeart/2005/8/layout/hierarchy2"/>
    <dgm:cxn modelId="{45454BCA-4B4F-4FD2-BDD8-48CBA20BAC79}" type="presParOf" srcId="{CBE4AF10-7BB3-4BF3-99AF-359CCACEED17}" destId="{7193C396-9CAE-4163-8B53-23DB2A779311}" srcOrd="0" destOrd="0" presId="urn:microsoft.com/office/officeart/2005/8/layout/hierarchy2"/>
    <dgm:cxn modelId="{CF3A5BB0-41DA-4E0E-BB5F-6790BF6C718B}" type="presParOf" srcId="{7A5C6EB3-EE2C-4EDB-BB7B-3FF8A8680572}" destId="{10740184-9747-4A71-8507-8DC0523223D7}" srcOrd="17" destOrd="0" presId="urn:microsoft.com/office/officeart/2005/8/layout/hierarchy2"/>
    <dgm:cxn modelId="{6177DCE1-8060-4BA6-A6F8-054F682E3909}" type="presParOf" srcId="{10740184-9747-4A71-8507-8DC0523223D7}" destId="{38BD3B21-9B36-42E4-902C-2E2BFC04B4A0}" srcOrd="0" destOrd="0" presId="urn:microsoft.com/office/officeart/2005/8/layout/hierarchy2"/>
    <dgm:cxn modelId="{FFC477D5-FE1F-4675-96B3-8913100B17AF}" type="presParOf" srcId="{10740184-9747-4A71-8507-8DC0523223D7}" destId="{394A5674-8BDC-4095-9055-92621F57A36B}" srcOrd="1" destOrd="0" presId="urn:microsoft.com/office/officeart/2005/8/layout/hierarchy2"/>
    <dgm:cxn modelId="{FA12FCE2-3DBD-440A-AB53-22AFE7B8CBC6}" type="presParOf" srcId="{394A5674-8BDC-4095-9055-92621F57A36B}" destId="{CEDD12E0-8D29-4563-A7E6-C87464DA4415}" srcOrd="0" destOrd="0" presId="urn:microsoft.com/office/officeart/2005/8/layout/hierarchy2"/>
    <dgm:cxn modelId="{0CB4CE24-5838-4899-8087-5790224C1B9F}" type="presParOf" srcId="{CEDD12E0-8D29-4563-A7E6-C87464DA4415}" destId="{B5946233-0D26-4621-8182-583CCE9F66F4}" srcOrd="0" destOrd="0" presId="urn:microsoft.com/office/officeart/2005/8/layout/hierarchy2"/>
    <dgm:cxn modelId="{BBEAD17F-4BC2-45BC-9AC4-24F540729E51}" type="presParOf" srcId="{394A5674-8BDC-4095-9055-92621F57A36B}" destId="{38DA3786-FEA5-45A7-8C27-D3AFB0465596}" srcOrd="1" destOrd="0" presId="urn:microsoft.com/office/officeart/2005/8/layout/hierarchy2"/>
    <dgm:cxn modelId="{57C72DF4-D13A-4E73-A351-7E64B112D643}" type="presParOf" srcId="{38DA3786-FEA5-45A7-8C27-D3AFB0465596}" destId="{BB3B3672-94B0-4923-B362-D3C8B3CAA888}" srcOrd="0" destOrd="0" presId="urn:microsoft.com/office/officeart/2005/8/layout/hierarchy2"/>
    <dgm:cxn modelId="{DB557216-121F-4870-8EE9-CB24E6AA187B}" type="presParOf" srcId="{38DA3786-FEA5-45A7-8C27-D3AFB0465596}" destId="{D8890AB6-033B-4F25-A2D8-31BBD8F8AF75}" srcOrd="1" destOrd="0" presId="urn:microsoft.com/office/officeart/2005/8/layout/hierarchy2"/>
  </dgm:cxnLst>
  <dgm:bg/>
  <dgm:whole/>
  <dgm:extLst>
    <a:ext uri="http://schemas.microsoft.com/office/drawing/2008/diagram">
      <dsp:dataModelExt xmlns:dsp="http://schemas.microsoft.com/office/drawing/2008/diagram" relId="rId5" minVer="http://schemas.openxmlformats.org/drawingml/2006/diagram"/>
    </a:ext>
  </dgm:extLst>
</dgm:dataModel>
</file>

<file path=xl/diagrams/drawing1.xml><?xml version="1.0" encoding="utf-8"?>
<dsp:drawing xmlns:dgm="http://schemas.openxmlformats.org/drawingml/2006/diagram" xmlns:dsp="http://schemas.microsoft.com/office/drawing/2008/diagram" xmlns:a="http://schemas.openxmlformats.org/drawingml/2006/main">
  <dsp:spTree>
    <dsp:nvGrpSpPr>
      <dsp:cNvPr id="0" name=""/>
      <dsp:cNvGrpSpPr/>
    </dsp:nvGrpSpPr>
    <dsp:grpSpPr/>
  </dsp:spTree>
</dsp:drawing>
</file>

<file path=xl/diagrams/layout1.xml><?xml version="1.0" encoding="utf-8"?>
<dgm:layoutDef xmlns:dgm="http://schemas.openxmlformats.org/drawingml/2006/diagram" xmlns:a="http://schemas.openxmlformats.org/drawingml/2006/main" uniqueId="urn:microsoft.com/office/officeart/2005/8/layout/hierarchy2">
  <dgm:title val=""/>
  <dgm:desc val=""/>
  <dgm:catLst>
    <dgm:cat type="hierarchy" pri="5000"/>
  </dgm:catLst>
  <dgm:sampData>
    <dgm:dataModel>
      <dgm:ptLst>
        <dgm:pt modelId="0" type="doc"/>
        <dgm:pt modelId="1">
          <dgm:prSet phldr="1"/>
        </dgm:pt>
        <dgm:pt modelId="2">
          <dgm:prSet phldr="1"/>
        </dgm:pt>
        <dgm:pt modelId="21">
          <dgm:prSet phldr="1"/>
        </dgm:pt>
        <dgm:pt modelId="22">
          <dgm:prSet phldr="1"/>
        </dgm:pt>
        <dgm:pt modelId="3">
          <dgm:prSet phldr="1"/>
        </dgm:pt>
        <dgm:pt modelId="31">
          <dgm:prSet phldr="1"/>
        </dgm:pt>
      </dgm:ptLst>
      <dgm:cxnLst>
        <dgm:cxn modelId="4" srcId="0" destId="1" srcOrd="0" destOrd="0"/>
        <dgm:cxn modelId="5" srcId="1" destId="2" srcOrd="0" destOrd="0"/>
        <dgm:cxn modelId="6" srcId="1" destId="3" srcOrd="1" destOrd="0"/>
        <dgm:cxn modelId="23" srcId="2" destId="21" srcOrd="0" destOrd="0"/>
        <dgm:cxn modelId="24" srcId="2" destId="22" srcOrd="1" destOrd="0"/>
        <dgm:cxn modelId="33" srcId="3" destId="31" srcOrd="0" destOrd="0"/>
      </dgm:cxnLst>
      <dgm:bg/>
      <dgm:whole/>
    </dgm:dataModel>
  </dgm:sampData>
  <dgm:styleData>
    <dgm:dataModel>
      <dgm:ptLst>
        <dgm:pt modelId="0" type="doc"/>
        <dgm:pt modelId="1"/>
        <dgm:pt modelId="11"/>
        <dgm:pt modelId="12"/>
      </dgm:ptLst>
      <dgm:cxnLst>
        <dgm:cxn modelId="2" srcId="0" destId="1" srcOrd="0" destOrd="0"/>
        <dgm:cxn modelId="13" srcId="1" destId="11" srcOrd="0" destOrd="0"/>
        <dgm:cxn modelId="14" srcId="1" destId="12" srcOrd="1" destOrd="0"/>
      </dgm:cxnLst>
      <dgm:bg/>
      <dgm:whole/>
    </dgm:dataModel>
  </dgm:styleData>
  <dgm:clrData>
    <dgm:dataModel>
      <dgm:ptLst>
        <dgm:pt modelId="0" type="doc"/>
        <dgm:pt modelId="1"/>
        <dgm:pt modelId="2"/>
        <dgm:pt modelId="21"/>
        <dgm:pt modelId="211"/>
        <dgm:pt modelId="3"/>
        <dgm:pt modelId="31"/>
        <dgm:pt modelId="311"/>
      </dgm:ptLst>
      <dgm:cxnLst>
        <dgm:cxn modelId="4" srcId="0" destId="1" srcOrd="0" destOrd="0"/>
        <dgm:cxn modelId="5" srcId="1" destId="2" srcOrd="0" destOrd="0"/>
        <dgm:cxn modelId="6" srcId="1" destId="3" srcOrd="1" destOrd="0"/>
        <dgm:cxn modelId="23" srcId="2" destId="21" srcOrd="0" destOrd="0"/>
        <dgm:cxn modelId="24" srcId="21" destId="211" srcOrd="0" destOrd="0"/>
        <dgm:cxn modelId="33" srcId="3" destId="31" srcOrd="0" destOrd="0"/>
        <dgm:cxn modelId="34" srcId="31" destId="311" srcOrd="0" destOrd="0"/>
      </dgm:cxnLst>
      <dgm:bg/>
      <dgm:whole/>
    </dgm:dataModel>
  </dgm:clrData>
  <dgm:layoutNode name="diagram">
    <dgm:varLst>
      <dgm:chPref val="1"/>
      <dgm:dir/>
      <dgm:animOne val="branch"/>
      <dgm:animLvl val="lvl"/>
      <dgm:resizeHandles val="exact"/>
    </dgm:varLst>
    <dgm:choose name="Name0">
      <dgm:if name="Name1" func="var" arg="dir" op="equ" val="norm">
        <dgm:alg type="hierChild">
          <dgm:param type="linDir" val="fromT"/>
          <dgm:param type="chAlign" val="l"/>
        </dgm:alg>
      </dgm:if>
      <dgm:else name="Name2">
        <dgm:alg type="hierChild">
          <dgm:param type="linDir" val="fromT"/>
          <dgm:param type="chAlign" val="r"/>
        </dgm:alg>
      </dgm:else>
    </dgm:choose>
    <dgm:shape xmlns:r="http://schemas.openxmlformats.org/officeDocument/2006/relationships" r:blip="">
      <dgm:adjLst/>
    </dgm:shape>
    <dgm:presOf/>
    <dgm:constrLst>
      <dgm:constr type="h" for="des" ptType="node" refType="h"/>
      <dgm:constr type="w" for="des" ptType="node" refType="h" refFor="des" refPtType="node" fact="2"/>
      <dgm:constr type="sibSp" refType="h" refFor="des" refPtType="node" op="equ" fact="0.15"/>
      <dgm:constr type="sibSp" for="des" forName="level2hierChild" refType="h" refFor="des" refPtType="node" op="equ" fact="0.15"/>
      <dgm:constr type="sibSp" for="des" forName="level3hierChild" refType="h" refFor="des" refPtType="node" op="equ" fact="0.15"/>
      <dgm:constr type="sp" for="des" forName="root1" refType="w" refFor="des" refPtType="node" fact="0.4"/>
      <dgm:constr type="sp" for="des" forName="root2" refType="sp" refFor="des" refForName="root1" op="equ"/>
      <dgm:constr type="primFontSz" for="des" ptType="node" op="equ" val="65"/>
      <dgm:constr type="primFontSz" for="des" forName="connTx" op="equ" val="55"/>
      <dgm:constr type="primFontSz" for="des" forName="connTx" refType="primFontSz" refFor="des" refPtType="node" op="lte" fact="0.8"/>
    </dgm:constrLst>
    <dgm:ruleLst/>
    <dgm:forEach name="Name3" axis="ch">
      <dgm:forEach name="Name4" axis="self" ptType="node">
        <dgm:layoutNode name="root1">
          <dgm:choose name="Name5">
            <dgm:if name="Name6" func="var" arg="dir" op="equ" val="norm">
              <dgm:alg type="hierRoot">
                <dgm:param type="hierAlign" val="lCtrCh"/>
              </dgm:alg>
            </dgm:if>
            <dgm:else name="Name7">
              <dgm:alg type="hierRoot">
                <dgm:param type="hierAlign" val="rCtrCh"/>
              </dgm:alg>
            </dgm:else>
          </dgm:choose>
          <dgm:shape xmlns:r="http://schemas.openxmlformats.org/officeDocument/2006/relationships" r:blip="">
            <dgm:adjLst/>
          </dgm:shape>
          <dgm:presOf/>
          <dgm:constrLst/>
          <dgm:ruleLst/>
          <dgm:layoutNode name="LevelOneTextNode" styleLbl="node0">
            <dgm:varLst>
              <dgm:chPref val="3"/>
            </dgm:varLst>
            <dgm:alg type="tx"/>
            <dgm:shape xmlns:r="http://schemas.openxmlformats.org/officeDocument/2006/relationships" type="roundRect" r:blip="">
              <dgm:adjLst>
                <dgm:adj idx="1" val="0.1"/>
              </dgm:adjLst>
            </dgm:shape>
            <dgm:presOf axis="self"/>
            <dgm:constrLst>
              <dgm:constr type="tMarg" refType="primFontSz" fact="0.05"/>
              <dgm:constr type="bMarg" refType="primFontSz" fact="0.05"/>
              <dgm:constr type="lMarg" refType="primFontSz" fact="0.05"/>
              <dgm:constr type="rMarg" refType="primFontSz" fact="0.05"/>
            </dgm:constrLst>
            <dgm:ruleLst>
              <dgm:rule type="primFontSz" val="5" fact="NaN" max="NaN"/>
            </dgm:ruleLst>
          </dgm:layoutNode>
          <dgm:layoutNode name="level2hierChild">
            <dgm:choose name="Name8">
              <dgm:if name="Name9" func="var" arg="dir" op="equ" val="norm">
                <dgm:alg type="hierChild">
                  <dgm:param type="linDir" val="fromT"/>
                  <dgm:param type="chAlign" val="l"/>
                </dgm:alg>
              </dgm:if>
              <dgm:else name="Name10">
                <dgm:alg type="hierChild">
                  <dgm:param type="linDir" val="fromT"/>
                  <dgm:param type="chAlign" val="r"/>
                </dgm:alg>
              </dgm:else>
            </dgm:choose>
            <dgm:shape xmlns:r="http://schemas.openxmlformats.org/officeDocument/2006/relationships" r:blip="">
              <dgm:adjLst/>
            </dgm:shape>
            <dgm:presOf/>
            <dgm:constrLst/>
            <dgm:ruleLst/>
            <dgm:forEach name="repeat" axis="ch">
              <dgm:forEach name="Name11" axis="self" ptType="parTrans" cnt="1">
                <dgm:layoutNode name="conn2-1">
                  <dgm:choose name="Name12">
                    <dgm:if name="Name13" func="var" arg="dir" op="equ" val="norm">
                      <dgm:alg type="conn">
                        <dgm:param type="dim" val="1D"/>
                        <dgm:param type="begPts" val="midR"/>
                        <dgm:param type="endPts" val="midL"/>
                        <dgm:param type="endSty" val="noArr"/>
                      </dgm:alg>
                    </dgm:if>
                    <dgm:else name="Name14">
                      <dgm:alg type="conn">
                        <dgm:param type="dim" val="1D"/>
                        <dgm:param type="begPts" val="midL"/>
                        <dgm:param type="endPts" val="midR"/>
                        <dgm:param type="endSty" val="noArr"/>
                      </dgm:alg>
                    </dgm:else>
                  </dgm:choose>
                  <dgm:shape xmlns:r="http://schemas.openxmlformats.org/officeDocument/2006/relationships" type="conn" r:blip="">
                    <dgm:adjLst/>
                  </dgm:shape>
                  <dgm:presOf axis="self"/>
                  <dgm:constrLst>
                    <dgm:constr type="w" val="1"/>
                    <dgm:constr type="h" val="5"/>
                    <dgm:constr type="connDist"/>
                    <dgm:constr type="begPad"/>
                    <dgm:constr type="endPad"/>
                    <dgm:constr type="userA" for="ch" refType="connDist"/>
                  </dgm:constrLst>
                  <dgm:ruleLst/>
                  <dgm:layoutNode name="connTx">
                    <dgm:alg type="tx">
                      <dgm:param type="autoTxRot" val="grav"/>
                    </dgm:alg>
                    <dgm:shape xmlns:r="http://schemas.openxmlformats.org/officeDocument/2006/relationships" type="rect" r:blip="" hideGeom="1">
                      <dgm:adjLst/>
                    </dgm:shape>
                    <dgm:presOf axis="self"/>
                    <dgm:constrLst>
                      <dgm:constr type="userA"/>
                      <dgm:constr type="w" refType="userA" fact="0.05"/>
                      <dgm:constr type="h" refType="userA" fact="0.05"/>
                      <dgm:constr type="lMarg" val="1"/>
                      <dgm:constr type="rMarg" val="1"/>
                      <dgm:constr type="tMarg"/>
                      <dgm:constr type="bMarg"/>
                    </dgm:constrLst>
                    <dgm:ruleLst>
                      <dgm:rule type="h" val="NaN" fact="0.25" max="NaN"/>
                      <dgm:rule type="w" val="NaN" fact="0.8" max="NaN"/>
                      <dgm:rule type="primFontSz" val="5" fact="NaN" max="NaN"/>
                    </dgm:ruleLst>
                  </dgm:layoutNode>
                </dgm:layoutNode>
              </dgm:forEach>
              <dgm:forEach name="Name15" axis="self" ptType="node">
                <dgm:layoutNode name="root2">
                  <dgm:choose name="Name16">
                    <dgm:if name="Name17" func="var" arg="dir" op="equ" val="norm">
                      <dgm:alg type="hierRoot">
                        <dgm:param type="hierAlign" val="lCtrCh"/>
                      </dgm:alg>
                    </dgm:if>
                    <dgm:else name="Name18">
                      <dgm:alg type="hierRoot">
                        <dgm:param type="hierAlign" val="rCtrCh"/>
                      </dgm:alg>
                    </dgm:else>
                  </dgm:choose>
                  <dgm:shape xmlns:r="http://schemas.openxmlformats.org/officeDocument/2006/relationships" r:blip="">
                    <dgm:adjLst/>
                  </dgm:shape>
                  <dgm:presOf/>
                  <dgm:constrLst/>
                  <dgm:ruleLst/>
                  <dgm:layoutNode name="LevelTwoTextNode">
                    <dgm:varLst>
                      <dgm:chPref val="3"/>
                    </dgm:varLst>
                    <dgm:alg type="tx"/>
                    <dgm:shape xmlns:r="http://schemas.openxmlformats.org/officeDocument/2006/relationships" type="roundRect" r:blip="">
                      <dgm:adjLst>
                        <dgm:adj idx="1" val="0.1"/>
                      </dgm:adjLst>
                    </dgm:shape>
                    <dgm:presOf axis="self"/>
                    <dgm:constrLst>
                      <dgm:constr type="tMarg" refType="primFontSz" fact="0.05"/>
                      <dgm:constr type="bMarg" refType="primFontSz" fact="0.05"/>
                      <dgm:constr type="lMarg" refType="primFontSz" fact="0.05"/>
                      <dgm:constr type="rMarg" refType="primFontSz" fact="0.05"/>
                    </dgm:constrLst>
                    <dgm:ruleLst>
                      <dgm:rule type="primFontSz" val="5" fact="NaN" max="NaN"/>
                    </dgm:ruleLst>
                  </dgm:layoutNode>
                  <dgm:layoutNode name="level3hierChild">
                    <dgm:choose name="Name19">
                      <dgm:if name="Name20" func="var" arg="dir" op="equ" val="norm">
                        <dgm:alg type="hierChild">
                          <dgm:param type="linDir" val="fromT"/>
                          <dgm:param type="chAlign" val="l"/>
                        </dgm:alg>
                      </dgm:if>
                      <dgm:else name="Name21">
                        <dgm:alg type="hierChild">
                          <dgm:param type="linDir" val="fromT"/>
                          <dgm:param type="chAlign" val="r"/>
                        </dgm:alg>
                      </dgm:else>
                    </dgm:choose>
                    <dgm:shape xmlns:r="http://schemas.openxmlformats.org/officeDocument/2006/relationships" r:blip="">
                      <dgm:adjLst/>
                    </dgm:shape>
                    <dgm:presOf/>
                    <dgm:constrLst/>
                    <dgm:ruleLst/>
                    <dgm:forEach name="Name22" ref="repeat"/>
                  </dgm:layoutNode>
                </dgm:layoutNode>
              </dgm:forEach>
            </dgm:forEach>
          </dgm:layoutNode>
        </dgm:layoutNode>
      </dgm:forEach>
    </dgm:forEach>
  </dgm:layoutNode>
</dgm:layoutDef>
</file>

<file path=xl/diagrams/quickStyle1.xml><?xml version="1.0" encoding="utf-8"?>
<dgm:styleDef xmlns:dgm="http://schemas.openxmlformats.org/drawingml/2006/diagram" xmlns:a="http://schemas.openxmlformats.org/drawingml/2006/main" uniqueId="urn:microsoft.com/office/officeart/2005/8/quickstyle/simple1">
  <dgm:title val=""/>
  <dgm:desc val=""/>
  <dgm:catLst>
    <dgm:cat type="simple" pri="10100"/>
  </dgm:catLst>
  <dgm:scene3d>
    <a:camera prst="orthographicFront"/>
    <a:lightRig rig="threePt" dir="t"/>
  </dgm:scene3d>
  <dgm:styleLbl name="node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l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ven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tx1"/>
      </a:fontRef>
    </dgm:style>
  </dgm:styleLbl>
  <dgm:styleLbl name="alig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b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sibTrans1D1">
    <dgm:scene3d>
      <a:camera prst="orthographicFront"/>
      <a:lightRig rig="threePt" dir="t"/>
    </dgm:scene3d>
    <dgm:sp3d/>
    <dgm:txPr/>
    <dgm:style>
      <a:lnRef idx="1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callout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sst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1D1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2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3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4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con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dk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Shp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revTx">
    <dgm:scene3d>
      <a:camera prst="orthographicFront"/>
      <a:lightRig rig="threePt" dir="t"/>
    </dgm:scene3d>
    <dgm:sp3d/>
    <dgm:txPr/>
    <dgm:style>
      <a:lnRef idx="0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</dgm:styleDef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diagramQuickStyle" Target="../diagrams/quickStyle1.xml"/><Relationship Id="rId2" Type="http://schemas.openxmlformats.org/officeDocument/2006/relationships/diagramLayout" Target="../diagrams/layout1.xml"/><Relationship Id="rId1" Type="http://schemas.openxmlformats.org/officeDocument/2006/relationships/diagramData" Target="../diagrams/data1.xml"/><Relationship Id="rId5" Type="http://schemas.microsoft.com/office/2007/relationships/diagramDrawing" Target="../diagrams/drawing1.xml"/><Relationship Id="rId4" Type="http://schemas.openxmlformats.org/officeDocument/2006/relationships/diagramColors" Target="../diagrams/colors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619125</xdr:colOff>
      <xdr:row>7</xdr:row>
      <xdr:rowOff>38100</xdr:rowOff>
    </xdr:from>
    <xdr:to>
      <xdr:col>12</xdr:col>
      <xdr:colOff>276225</xdr:colOff>
      <xdr:row>28</xdr:row>
      <xdr:rowOff>171450</xdr:rowOff>
    </xdr:to>
    <xdr:graphicFrame macro="">
      <xdr:nvGraphicFramePr>
        <xdr:cNvPr id="3" name="Diagramm 2"/>
        <xdr:cNvGraphicFramePr/>
      </xdr:nvGraphicFramePr>
      <xdr:xfrm>
        <a:off x="0" y="0"/>
        <a:ext cx="0" cy="0"/>
      </xdr:xfrm>
      <a:graphic>
        <a:graphicData uri="http://schemas.openxmlformats.org/drawingml/2006/diagram">
          <dgm:relIds xmlns:dgm="http://schemas.openxmlformats.org/drawingml/2006/diagram" xmlns:r="http://schemas.openxmlformats.org/officeDocument/2006/relationships" r:dm="rId1" r:lo="rId2" r:qs="rId3" r:cs="rId4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28189</xdr:colOff>
      <xdr:row>0</xdr:row>
      <xdr:rowOff>110777</xdr:rowOff>
    </xdr:from>
    <xdr:to>
      <xdr:col>12</xdr:col>
      <xdr:colOff>733808</xdr:colOff>
      <xdr:row>6</xdr:row>
      <xdr:rowOff>89246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61989" y="110777"/>
          <a:ext cx="6115819" cy="864294"/>
        </a:xfrm>
        <a:prstGeom prst="rect">
          <a:avLst/>
        </a:prstGeom>
      </xdr:spPr>
    </xdr:pic>
    <xdr:clientData/>
  </xdr:twoCellAnchor>
  <xdr:oneCellAnchor>
    <xdr:from>
      <xdr:col>2</xdr:col>
      <xdr:colOff>1957387</xdr:colOff>
      <xdr:row>18</xdr:row>
      <xdr:rowOff>147637</xdr:rowOff>
    </xdr:from>
    <xdr:ext cx="65" cy="172227"/>
    <xdr:sp macro="" textlink="">
      <xdr:nvSpPr>
        <xdr:cNvPr id="3" name="Textfeld 2"/>
        <xdr:cNvSpPr txBox="1"/>
      </xdr:nvSpPr>
      <xdr:spPr>
        <a:xfrm>
          <a:off x="2433637" y="3062287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de-DE" sz="1100"/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28444</xdr:colOff>
      <xdr:row>0</xdr:row>
      <xdr:rowOff>118954</xdr:rowOff>
    </xdr:from>
    <xdr:to>
      <xdr:col>12</xdr:col>
      <xdr:colOff>686445</xdr:colOff>
      <xdr:row>6</xdr:row>
      <xdr:rowOff>97423</xdr:rowOff>
    </xdr:to>
    <xdr:pic>
      <xdr:nvPicPr>
        <xdr:cNvPr id="4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62244" y="118954"/>
          <a:ext cx="6115826" cy="86429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2313979</xdr:colOff>
      <xdr:row>7</xdr:row>
      <xdr:rowOff>104774</xdr:rowOff>
    </xdr:from>
    <xdr:to>
      <xdr:col>1</xdr:col>
      <xdr:colOff>3990975</xdr:colOff>
      <xdr:row>8</xdr:row>
      <xdr:rowOff>80239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94954" y="1057274"/>
          <a:ext cx="1676996" cy="432665"/>
        </a:xfrm>
        <a:prstGeom prst="rect">
          <a:avLst/>
        </a:prstGeom>
      </xdr:spPr>
    </xdr:pic>
    <xdr:clientData/>
  </xdr:twoCellAnchor>
  <xdr:oneCellAnchor>
    <xdr:from>
      <xdr:col>1</xdr:col>
      <xdr:colOff>2313979</xdr:colOff>
      <xdr:row>108</xdr:row>
      <xdr:rowOff>38099</xdr:rowOff>
    </xdr:from>
    <xdr:ext cx="1676996" cy="432665"/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94954" y="21078824"/>
          <a:ext cx="1676996" cy="432665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17" Type="http://schemas.openxmlformats.org/officeDocument/2006/relationships/hyperlink" Target="http://www.xnview.com/" TargetMode="External"/><Relationship Id="rId299" Type="http://schemas.openxmlformats.org/officeDocument/2006/relationships/hyperlink" Target="https://github.com/jonsneyers/FLIF" TargetMode="External"/><Relationship Id="rId21" Type="http://schemas.openxmlformats.org/officeDocument/2006/relationships/hyperlink" Target="ftp://ftp.sac.sk/pub/sac/pack/rkim106.zip" TargetMode="External"/><Relationship Id="rId63" Type="http://schemas.openxmlformats.org/officeDocument/2006/relationships/hyperlink" Target="http://mattmahoney.net/dc/text.html" TargetMode="External"/><Relationship Id="rId159" Type="http://schemas.openxmlformats.org/officeDocument/2006/relationships/hyperlink" Target="http://www.rarlabs.com/" TargetMode="External"/><Relationship Id="rId324" Type="http://schemas.openxmlformats.org/officeDocument/2006/relationships/hyperlink" Target="https://encode.ru/attachment.php?attachmentid=5122&amp;d=1503087121" TargetMode="External"/><Relationship Id="rId366" Type="http://schemas.openxmlformats.org/officeDocument/2006/relationships/hyperlink" Target="https://github.com/GPUOpen-Tools/Compressonator/tree/master/Compressonator/Source/Codec" TargetMode="External"/><Relationship Id="rId170" Type="http://schemas.openxmlformats.org/officeDocument/2006/relationships/hyperlink" Target="https://github.com/jonsneyers/FLIF" TargetMode="External"/><Relationship Id="rId226" Type="http://schemas.openxmlformats.org/officeDocument/2006/relationships/hyperlink" Target="http://css-ig.net/pngslim" TargetMode="External"/><Relationship Id="rId268" Type="http://schemas.openxmlformats.org/officeDocument/2006/relationships/hyperlink" Target="https://drive.google.com/file/d/0ByLIAFlgldSoazdjYnVQekY2TTg/view?usp=sharing" TargetMode="External"/><Relationship Id="rId32" Type="http://schemas.openxmlformats.org/officeDocument/2006/relationships/hyperlink" Target="http://www.xnview.com/" TargetMode="External"/><Relationship Id="rId74" Type="http://schemas.openxmlformats.org/officeDocument/2006/relationships/hyperlink" Target="http://free.zoner.com/" TargetMode="External"/><Relationship Id="rId128" Type="http://schemas.openxmlformats.org/officeDocument/2006/relationships/hyperlink" Target="http://www.photofiltre.com/" TargetMode="External"/><Relationship Id="rId335" Type="http://schemas.openxmlformats.org/officeDocument/2006/relationships/hyperlink" Target="http://www.winace.com/" TargetMode="External"/><Relationship Id="rId377" Type="http://schemas.openxmlformats.org/officeDocument/2006/relationships/hyperlink" Target="https://encode.ru/attachment.php?attachmentid=5397&amp;d=1507656823" TargetMode="External"/><Relationship Id="rId5" Type="http://schemas.openxmlformats.org/officeDocument/2006/relationships/hyperlink" Target="mailto:mark@photographyblog.com" TargetMode="External"/><Relationship Id="rId181" Type="http://schemas.openxmlformats.org/officeDocument/2006/relationships/hyperlink" Target="http://bellard.org/bpg" TargetMode="External"/><Relationship Id="rId237" Type="http://schemas.openxmlformats.org/officeDocument/2006/relationships/hyperlink" Target="http://www.squeezechart.com/" TargetMode="External"/><Relationship Id="rId279" Type="http://schemas.openxmlformats.org/officeDocument/2006/relationships/hyperlink" Target="https://github.com/jonsneyers/FLIF" TargetMode="External"/><Relationship Id="rId43" Type="http://schemas.openxmlformats.org/officeDocument/2006/relationships/hyperlink" Target="https://github.com/thorfdbg/libjpeg" TargetMode="External"/><Relationship Id="rId139" Type="http://schemas.openxmlformats.org/officeDocument/2006/relationships/hyperlink" Target="http://www.studioline.net/" TargetMode="External"/><Relationship Id="rId290" Type="http://schemas.openxmlformats.org/officeDocument/2006/relationships/hyperlink" Target="https://github.com/jonsneyers/FLIF" TargetMode="External"/><Relationship Id="rId304" Type="http://schemas.openxmlformats.org/officeDocument/2006/relationships/hyperlink" Target="http://heartofcomp.altervista.org/packet1.9.zip" TargetMode="External"/><Relationship Id="rId346" Type="http://schemas.openxmlformats.org/officeDocument/2006/relationships/hyperlink" Target="https://encode.ru/attachment.php?attachmentid=5122&amp;d=1503087121" TargetMode="External"/><Relationship Id="rId388" Type="http://schemas.openxmlformats.org/officeDocument/2006/relationships/hyperlink" Target="https://encode.ru/attachment.php?attachmentid=5493&amp;d=1510501914" TargetMode="External"/><Relationship Id="rId85" Type="http://schemas.openxmlformats.org/officeDocument/2006/relationships/hyperlink" Target="http://www.bzip.org/" TargetMode="External"/><Relationship Id="rId150" Type="http://schemas.openxmlformats.org/officeDocument/2006/relationships/hyperlink" Target="http://jxrlib.codeplex.com/" TargetMode="External"/><Relationship Id="rId192" Type="http://schemas.openxmlformats.org/officeDocument/2006/relationships/hyperlink" Target="https://github.com/jonsneyers/FLIF" TargetMode="External"/><Relationship Id="rId206" Type="http://schemas.openxmlformats.org/officeDocument/2006/relationships/hyperlink" Target="https://github.com/mathieuchartier/mcm/tree/v0.83" TargetMode="External"/><Relationship Id="rId248" Type="http://schemas.openxmlformats.org/officeDocument/2006/relationships/hyperlink" Target="https://drive.google.com/file/d/0ByLIAFlgldSoeEIwQ0NjSUtiTTA/view?usp=sharing" TargetMode="External"/><Relationship Id="rId12" Type="http://schemas.openxmlformats.org/officeDocument/2006/relationships/hyperlink" Target="http://www.mattmahoney.net/dc/text.html" TargetMode="External"/><Relationship Id="rId108" Type="http://schemas.openxmlformats.org/officeDocument/2006/relationships/hyperlink" Target="http://sourceforge.net/projects/pyramidworkshop/" TargetMode="External"/><Relationship Id="rId315" Type="http://schemas.openxmlformats.org/officeDocument/2006/relationships/hyperlink" Target="https://encode.ru/attachment.php?attachmentid=5094&amp;d=1502530939" TargetMode="External"/><Relationship Id="rId357" Type="http://schemas.openxmlformats.org/officeDocument/2006/relationships/hyperlink" Target="https://encode.ru/attachment.php?attachmentid=5296&amp;d=1505059819" TargetMode="External"/><Relationship Id="rId54" Type="http://schemas.openxmlformats.org/officeDocument/2006/relationships/hyperlink" Target="http://www.winzip.com/" TargetMode="External"/><Relationship Id="rId96" Type="http://schemas.openxmlformats.org/officeDocument/2006/relationships/hyperlink" Target="http://www.xnview.com/" TargetMode="External"/><Relationship Id="rId161" Type="http://schemas.openxmlformats.org/officeDocument/2006/relationships/hyperlink" Target="http://packjpg.encode.ru/?page_id=73" TargetMode="External"/><Relationship Id="rId217" Type="http://schemas.openxmlformats.org/officeDocument/2006/relationships/hyperlink" Target="http://www.7-zip.org/" TargetMode="External"/><Relationship Id="rId259" Type="http://schemas.openxmlformats.org/officeDocument/2006/relationships/hyperlink" Target="https://drive.google.com/file/d/0ByLIAFlgldSoazdjYnVQekY2TTg/view?usp=sharing" TargetMode="External"/><Relationship Id="rId23" Type="http://schemas.openxmlformats.org/officeDocument/2006/relationships/hyperlink" Target="ftp://ftp.sac.sk/pub/sac/pack/uhic20.zip" TargetMode="External"/><Relationship Id="rId119" Type="http://schemas.openxmlformats.org/officeDocument/2006/relationships/hyperlink" Target="http://www.openjpeg.org/" TargetMode="External"/><Relationship Id="rId270" Type="http://schemas.openxmlformats.org/officeDocument/2006/relationships/hyperlink" Target="https://drive.google.com/file/d/0ByLIAFlgldSoazdjYnVQekY2TTg/view?usp=sharing" TargetMode="External"/><Relationship Id="rId326" Type="http://schemas.openxmlformats.org/officeDocument/2006/relationships/hyperlink" Target="http://www.powerarchiver.com/" TargetMode="External"/><Relationship Id="rId65" Type="http://schemas.openxmlformats.org/officeDocument/2006/relationships/hyperlink" Target="ftp://ftp.sac.sk/pub/sac/pack/rkim106.zip" TargetMode="External"/><Relationship Id="rId130" Type="http://schemas.openxmlformats.org/officeDocument/2006/relationships/hyperlink" Target="http://www.xnview.com/" TargetMode="External"/><Relationship Id="rId368" Type="http://schemas.openxmlformats.org/officeDocument/2006/relationships/hyperlink" Target="https://github.com/GPUOpen-Tools/Compressonator/tree/master/Compressonator/Source/Codec" TargetMode="External"/><Relationship Id="rId172" Type="http://schemas.openxmlformats.org/officeDocument/2006/relationships/hyperlink" Target="https://github.com/jonsneyers/FLIF" TargetMode="External"/><Relationship Id="rId228" Type="http://schemas.openxmlformats.org/officeDocument/2006/relationships/hyperlink" Target="http://www.imagecompression.info/gralic/qlic1d.zip" TargetMode="External"/><Relationship Id="rId281" Type="http://schemas.openxmlformats.org/officeDocument/2006/relationships/hyperlink" Target="https://github.com/jonsneyers/FLIF" TargetMode="External"/><Relationship Id="rId337" Type="http://schemas.openxmlformats.org/officeDocument/2006/relationships/hyperlink" Target="http://www.bzip.org/" TargetMode="External"/><Relationship Id="rId34" Type="http://schemas.openxmlformats.org/officeDocument/2006/relationships/hyperlink" Target="ftp://ftp.sac.sk/pub/sac/pack/winrk312.exe" TargetMode="External"/><Relationship Id="rId76" Type="http://schemas.openxmlformats.org/officeDocument/2006/relationships/hyperlink" Target="http://www.intuac.com/userport/john/apt/" TargetMode="External"/><Relationship Id="rId141" Type="http://schemas.openxmlformats.org/officeDocument/2006/relationships/hyperlink" Target="http://www.imagecompression.info/gralic/qlic1d.zip" TargetMode="External"/><Relationship Id="rId379" Type="http://schemas.openxmlformats.org/officeDocument/2006/relationships/hyperlink" Target="https://encode.ru/attachment.php?attachmentid=5397&amp;d=1507656823" TargetMode="External"/><Relationship Id="rId7" Type="http://schemas.openxmlformats.org/officeDocument/2006/relationships/hyperlink" Target="http://www.rawzor.com/" TargetMode="External"/><Relationship Id="rId183" Type="http://schemas.openxmlformats.org/officeDocument/2006/relationships/hyperlink" Target="http://www.jpeg.org/jpegxt/software.html" TargetMode="External"/><Relationship Id="rId239" Type="http://schemas.openxmlformats.org/officeDocument/2006/relationships/hyperlink" Target="https://drive.google.com/file/d/0ByLIAFlgldSoNm9wYU9IRUhGbDg/view?usp=sharing" TargetMode="External"/><Relationship Id="rId390" Type="http://schemas.openxmlformats.org/officeDocument/2006/relationships/hyperlink" Target="https://encode.ru/attachment.php?attachmentid=5493&amp;d=1510501914" TargetMode="External"/><Relationship Id="rId250" Type="http://schemas.openxmlformats.org/officeDocument/2006/relationships/hyperlink" Target="https://drive.google.com/file/d/0ByLIAFlgldSoNmxxSzUwTWYwREU/view?usp=sharing" TargetMode="External"/><Relationship Id="rId292" Type="http://schemas.openxmlformats.org/officeDocument/2006/relationships/hyperlink" Target="https://github.com/jonsneyers/FLIF" TargetMode="External"/><Relationship Id="rId306" Type="http://schemas.openxmlformats.org/officeDocument/2006/relationships/hyperlink" Target="http://heartofcomp.altervista.org/packet1.9.zip" TargetMode="External"/><Relationship Id="rId45" Type="http://schemas.openxmlformats.org/officeDocument/2006/relationships/hyperlink" Target="http://www.adobe.com/go/dng_converter_win" TargetMode="External"/><Relationship Id="rId87" Type="http://schemas.openxmlformats.org/officeDocument/2006/relationships/hyperlink" Target="http://www.emit.jp/dgca/dgca_e.html" TargetMode="External"/><Relationship Id="rId110" Type="http://schemas.openxmlformats.org/officeDocument/2006/relationships/hyperlink" Target="http://www.cs.mu.oz.au/mg/mg-1.2.1.tar.gz" TargetMode="External"/><Relationship Id="rId348" Type="http://schemas.openxmlformats.org/officeDocument/2006/relationships/hyperlink" Target="http://www.powerarchiver.com/" TargetMode="External"/><Relationship Id="rId152" Type="http://schemas.openxmlformats.org/officeDocument/2006/relationships/hyperlink" Target="https://www.ashampoo.com/en/eur/pin/1618/Multimedia_Software/Ashampoo-Photo-Commander-11" TargetMode="External"/><Relationship Id="rId194" Type="http://schemas.openxmlformats.org/officeDocument/2006/relationships/hyperlink" Target="http://www.imagecompression.info/gralic/flic21d.zip" TargetMode="External"/><Relationship Id="rId208" Type="http://schemas.openxmlformats.org/officeDocument/2006/relationships/hyperlink" Target="http://jpegclub.org/jcropsrc.zip" TargetMode="External"/><Relationship Id="rId261" Type="http://schemas.openxmlformats.org/officeDocument/2006/relationships/hyperlink" Target="https://drive.google.com/file/d/0ByLIAFlgldSoazdjYnVQekY2TTg/view?usp=sharing" TargetMode="External"/><Relationship Id="rId14" Type="http://schemas.openxmlformats.org/officeDocument/2006/relationships/hyperlink" Target="http://www.winace.com/" TargetMode="External"/><Relationship Id="rId56" Type="http://schemas.openxmlformats.org/officeDocument/2006/relationships/hyperlink" Target="http://www.mattmahoney.net/dc/text.html" TargetMode="External"/><Relationship Id="rId317" Type="http://schemas.openxmlformats.org/officeDocument/2006/relationships/hyperlink" Target="https://encode.ru/attachment.php?attachmentid=5094&amp;d=1502530939" TargetMode="External"/><Relationship Id="rId359" Type="http://schemas.openxmlformats.org/officeDocument/2006/relationships/hyperlink" Target="https://encode.ru/attachment.php?attachmentid=5291&amp;d=1504963462" TargetMode="External"/><Relationship Id="rId98" Type="http://schemas.openxmlformats.org/officeDocument/2006/relationships/hyperlink" Target="http://www.xnview.com/" TargetMode="External"/><Relationship Id="rId121" Type="http://schemas.openxmlformats.org/officeDocument/2006/relationships/hyperlink" Target="http://www.7-zip.org/" TargetMode="External"/><Relationship Id="rId163" Type="http://schemas.openxmlformats.org/officeDocument/2006/relationships/hyperlink" Target="http://heartofcomp.altervista.org/zcm092.zip" TargetMode="External"/><Relationship Id="rId219" Type="http://schemas.openxmlformats.org/officeDocument/2006/relationships/hyperlink" Target="http://www.rarlabs.com/" TargetMode="External"/><Relationship Id="rId370" Type="http://schemas.openxmlformats.org/officeDocument/2006/relationships/hyperlink" Target="https://github.com/GPUOpen-Tools/Compressonator/tree/master/Compressonator/Source/Codec" TargetMode="External"/><Relationship Id="rId230" Type="http://schemas.openxmlformats.org/officeDocument/2006/relationships/hyperlink" Target="http://qlic.altervista.org/qlic2d.zip" TargetMode="External"/><Relationship Id="rId25" Type="http://schemas.openxmlformats.org/officeDocument/2006/relationships/hyperlink" Target="http://www.hpl.hp.com/loco/" TargetMode="External"/><Relationship Id="rId67" Type="http://schemas.openxmlformats.org/officeDocument/2006/relationships/hyperlink" Target="ftp://ftp.sac.sk/pub/sac/pack/uhic20.zip" TargetMode="External"/><Relationship Id="rId272" Type="http://schemas.openxmlformats.org/officeDocument/2006/relationships/hyperlink" Target="https://drive.google.com/file/d/0ByLIAFlgldSoazdjYnVQekY2TTg/view?usp=sharing" TargetMode="External"/><Relationship Id="rId328" Type="http://schemas.openxmlformats.org/officeDocument/2006/relationships/hyperlink" Target="https://drive.google.com/drive/folders/0B_X1BeQ2TuWibTBmVG90S0k1bVE" TargetMode="External"/><Relationship Id="rId132" Type="http://schemas.openxmlformats.org/officeDocument/2006/relationships/hyperlink" Target="http://www.xnview.com/" TargetMode="External"/><Relationship Id="rId174" Type="http://schemas.openxmlformats.org/officeDocument/2006/relationships/hyperlink" Target="https://developers.google.com/speed/webp/download" TargetMode="External"/><Relationship Id="rId381" Type="http://schemas.openxmlformats.org/officeDocument/2006/relationships/hyperlink" Target="http://www.squeezechart.com/tex2.dds" TargetMode="External"/><Relationship Id="rId241" Type="http://schemas.openxmlformats.org/officeDocument/2006/relationships/hyperlink" Target="https://drive.google.com/file/d/0ByLIAFlgldSoNHhaVTZyT3lfSlU/view?usp=sharing" TargetMode="External"/><Relationship Id="rId36" Type="http://schemas.openxmlformats.org/officeDocument/2006/relationships/hyperlink" Target="http://free.zoner.com/" TargetMode="External"/><Relationship Id="rId283" Type="http://schemas.openxmlformats.org/officeDocument/2006/relationships/hyperlink" Target="https://github.com/jonsneyers/FLIF" TargetMode="External"/><Relationship Id="rId339" Type="http://schemas.openxmlformats.org/officeDocument/2006/relationships/hyperlink" Target="http://www.emit.jp/dgca/dgca_e.html" TargetMode="External"/><Relationship Id="rId78" Type="http://schemas.openxmlformats.org/officeDocument/2006/relationships/hyperlink" Target="http://www.intuac.com/userport/john/btpc5/index.html" TargetMode="External"/><Relationship Id="rId101" Type="http://schemas.openxmlformats.org/officeDocument/2006/relationships/hyperlink" Target="ftp://ftp.sac.sk/pub/sac/pack/compress.zip" TargetMode="External"/><Relationship Id="rId143" Type="http://schemas.openxmlformats.org/officeDocument/2006/relationships/hyperlink" Target="http://encode.narod.ru/bim001.zip" TargetMode="External"/><Relationship Id="rId185" Type="http://schemas.openxmlformats.org/officeDocument/2006/relationships/hyperlink" Target="http://www.jpeg.org/jpegxt/software.html" TargetMode="External"/><Relationship Id="rId350" Type="http://schemas.openxmlformats.org/officeDocument/2006/relationships/hyperlink" Target="https://github.com/Cristianohh/ETC2TextureLoader/blob/master/assets/tex_png.png" TargetMode="External"/><Relationship Id="rId9" Type="http://schemas.openxmlformats.org/officeDocument/2006/relationships/hyperlink" Target="http://www.nanozip.net/" TargetMode="External"/><Relationship Id="rId210" Type="http://schemas.openxmlformats.org/officeDocument/2006/relationships/hyperlink" Target="http://www.jpeg.org/jpegxt/software.html" TargetMode="External"/><Relationship Id="rId392" Type="http://schemas.openxmlformats.org/officeDocument/2006/relationships/vmlDrawing" Target="../drawings/vmlDrawing5.vml"/><Relationship Id="rId252" Type="http://schemas.openxmlformats.org/officeDocument/2006/relationships/hyperlink" Target="https://drive.google.com/file/d/0ByLIAFlgldSoVmc3dzJwS2dzMDg/view?usp=sharing" TargetMode="External"/><Relationship Id="rId294" Type="http://schemas.openxmlformats.org/officeDocument/2006/relationships/hyperlink" Target="https://developers.google.com/speed/webp/download" TargetMode="External"/><Relationship Id="rId308" Type="http://schemas.openxmlformats.org/officeDocument/2006/relationships/hyperlink" Target="https://developers.google.com/speed/webp/download" TargetMode="External"/><Relationship Id="rId47" Type="http://schemas.openxmlformats.org/officeDocument/2006/relationships/hyperlink" Target="http://www.gzip.org/" TargetMode="External"/><Relationship Id="rId89" Type="http://schemas.openxmlformats.org/officeDocument/2006/relationships/hyperlink" Target="http://heartofcomp.altervista.org/" TargetMode="External"/><Relationship Id="rId112" Type="http://schemas.openxmlformats.org/officeDocument/2006/relationships/hyperlink" Target="http://free.zoner.com/" TargetMode="External"/><Relationship Id="rId154" Type="http://schemas.openxmlformats.org/officeDocument/2006/relationships/hyperlink" Target="http://jpegclub.org/jcropsrc.zip" TargetMode="External"/><Relationship Id="rId361" Type="http://schemas.openxmlformats.org/officeDocument/2006/relationships/hyperlink" Target="https://encode.ru/attachment.php?attachmentid=5291&amp;d=1504963462" TargetMode="External"/><Relationship Id="rId196" Type="http://schemas.openxmlformats.org/officeDocument/2006/relationships/hyperlink" Target="http://mattmahoney.net/dc/text.html" TargetMode="External"/><Relationship Id="rId16" Type="http://schemas.openxmlformats.org/officeDocument/2006/relationships/hyperlink" Target="http://www.imagecompression.info/gralic/flic21d.zip" TargetMode="External"/><Relationship Id="rId221" Type="http://schemas.openxmlformats.org/officeDocument/2006/relationships/hyperlink" Target="http://free.zoner.com/" TargetMode="External"/><Relationship Id="rId242" Type="http://schemas.openxmlformats.org/officeDocument/2006/relationships/hyperlink" Target="https://drive.google.com/file/d/0ByLIAFlgldSocURsd1ptcEp5dUE/view?usp=sharing" TargetMode="External"/><Relationship Id="rId263" Type="http://schemas.openxmlformats.org/officeDocument/2006/relationships/hyperlink" Target="https://drive.google.com/file/d/0ByLIAFlgldSoazdjYnVQekY2TTg/view?usp=sharing" TargetMode="External"/><Relationship Id="rId284" Type="http://schemas.openxmlformats.org/officeDocument/2006/relationships/hyperlink" Target="https://github.com/jonsneyers/FLIF" TargetMode="External"/><Relationship Id="rId319" Type="http://schemas.openxmlformats.org/officeDocument/2006/relationships/hyperlink" Target="https://encode.ru/attachment.php?attachmentid=5094&amp;d=1502530939" TargetMode="External"/><Relationship Id="rId37" Type="http://schemas.openxmlformats.org/officeDocument/2006/relationships/hyperlink" Target="http://www.softpedia.com/dyn-postdownload.php?p=131267&amp;t=0&amp;i=1" TargetMode="External"/><Relationship Id="rId58" Type="http://schemas.openxmlformats.org/officeDocument/2006/relationships/hyperlink" Target="http://www.winace.com/" TargetMode="External"/><Relationship Id="rId79" Type="http://schemas.openxmlformats.org/officeDocument/2006/relationships/hyperlink" Target="http://imagezero.maxiom.de/" TargetMode="External"/><Relationship Id="rId102" Type="http://schemas.openxmlformats.org/officeDocument/2006/relationships/hyperlink" Target="http://www.openexr.com/" TargetMode="External"/><Relationship Id="rId123" Type="http://schemas.openxmlformats.org/officeDocument/2006/relationships/hyperlink" Target="http://www.getpaint.net/" TargetMode="External"/><Relationship Id="rId144" Type="http://schemas.openxmlformats.org/officeDocument/2006/relationships/hyperlink" Target="mailto:squeezechart@gmx.de" TargetMode="External"/><Relationship Id="rId330" Type="http://schemas.openxmlformats.org/officeDocument/2006/relationships/hyperlink" Target="https://encode.ru/attachment.php?attachmentid=5251&amp;d=1504551035" TargetMode="External"/><Relationship Id="rId90" Type="http://schemas.openxmlformats.org/officeDocument/2006/relationships/hyperlink" Target="http://itohws03.ee.noda.sut.ac.jp/~matsuda/mrp/" TargetMode="External"/><Relationship Id="rId165" Type="http://schemas.openxmlformats.org/officeDocument/2006/relationships/hyperlink" Target="http://www.jpeg.org/jpegxt/software.html" TargetMode="External"/><Relationship Id="rId186" Type="http://schemas.openxmlformats.org/officeDocument/2006/relationships/hyperlink" Target="http://www.jpeg.org/jpegxt/software.html" TargetMode="External"/><Relationship Id="rId351" Type="http://schemas.openxmlformats.org/officeDocument/2006/relationships/hyperlink" Target="http://fileforums.com/showthread.php?t=97530" TargetMode="External"/><Relationship Id="rId372" Type="http://schemas.openxmlformats.org/officeDocument/2006/relationships/hyperlink" Target="https://goo.gl/EDd1sS" TargetMode="External"/><Relationship Id="rId393" Type="http://schemas.openxmlformats.org/officeDocument/2006/relationships/image" Target="../media/image2.png"/><Relationship Id="rId211" Type="http://schemas.openxmlformats.org/officeDocument/2006/relationships/hyperlink" Target="http://imagezero.maxiom.de/" TargetMode="External"/><Relationship Id="rId232" Type="http://schemas.openxmlformats.org/officeDocument/2006/relationships/hyperlink" Target="http://upload.wikimedia.org/wikipedia/commons/4/4e/Scan17semanas2.png" TargetMode="External"/><Relationship Id="rId253" Type="http://schemas.openxmlformats.org/officeDocument/2006/relationships/hyperlink" Target="https://drive.google.com/file/d/0ByLIAFlgldSoc3dWaWJZMjNUNWc/view?usp=sharing" TargetMode="External"/><Relationship Id="rId274" Type="http://schemas.openxmlformats.org/officeDocument/2006/relationships/hyperlink" Target="https://drive.google.com/file/d/0ByLIAFlgldSoazdjYnVQekY2TTg/view?usp=sharing" TargetMode="External"/><Relationship Id="rId295" Type="http://schemas.openxmlformats.org/officeDocument/2006/relationships/hyperlink" Target="https://developers.google.com/speed/webp/download" TargetMode="External"/><Relationship Id="rId309" Type="http://schemas.openxmlformats.org/officeDocument/2006/relationships/hyperlink" Target="https://github.com/jonsneyers/FLIF" TargetMode="External"/><Relationship Id="rId27" Type="http://schemas.openxmlformats.org/officeDocument/2006/relationships/hyperlink" Target="http://replay.waybackmachine.org/20030126170744/http:/www.cipr.rpi.edu/research/SPIHT/EW_Code/lsp.exe" TargetMode="External"/><Relationship Id="rId48" Type="http://schemas.openxmlformats.org/officeDocument/2006/relationships/hyperlink" Target="http://www.emit.jp/dgca/dgca_e.html" TargetMode="External"/><Relationship Id="rId69" Type="http://schemas.openxmlformats.org/officeDocument/2006/relationships/hyperlink" Target="http://www.researchandtechnology.net/bcif/index.php" TargetMode="External"/><Relationship Id="rId113" Type="http://schemas.openxmlformats.org/officeDocument/2006/relationships/hyperlink" Target="http://www.kakadusoftware.com/" TargetMode="External"/><Relationship Id="rId134" Type="http://schemas.openxmlformats.org/officeDocument/2006/relationships/hyperlink" Target="http://www.xnview.com/" TargetMode="External"/><Relationship Id="rId320" Type="http://schemas.openxmlformats.org/officeDocument/2006/relationships/hyperlink" Target="https://encode.ru/attachment.php?attachmentid=5112&amp;d=1502910249" TargetMode="External"/><Relationship Id="rId80" Type="http://schemas.openxmlformats.org/officeDocument/2006/relationships/hyperlink" Target="http://charls.codeplex.com/" TargetMode="External"/><Relationship Id="rId155" Type="http://schemas.openxmlformats.org/officeDocument/2006/relationships/hyperlink" Target="http://encode.ru/attachment.php?attachmentid=1501&amp;d=1298990074" TargetMode="External"/><Relationship Id="rId176" Type="http://schemas.openxmlformats.org/officeDocument/2006/relationships/hyperlink" Target="https://developers.google.com/speed/webp/download" TargetMode="External"/><Relationship Id="rId197" Type="http://schemas.openxmlformats.org/officeDocument/2006/relationships/hyperlink" Target="http://compression.ru/ds/bmf_2_01.rar" TargetMode="External"/><Relationship Id="rId341" Type="http://schemas.openxmlformats.org/officeDocument/2006/relationships/hyperlink" Target="http://www.rarlabs.com/" TargetMode="External"/><Relationship Id="rId362" Type="http://schemas.openxmlformats.org/officeDocument/2006/relationships/hyperlink" Target="https://encode.ru/attachment.php?attachmentid=5284&amp;d=1504849543" TargetMode="External"/><Relationship Id="rId383" Type="http://schemas.openxmlformats.org/officeDocument/2006/relationships/hyperlink" Target="http://www.squeezechart.com/tex4.astc" TargetMode="External"/><Relationship Id="rId201" Type="http://schemas.openxmlformats.org/officeDocument/2006/relationships/hyperlink" Target="http://encode.narod.ru/bim001.zip" TargetMode="External"/><Relationship Id="rId222" Type="http://schemas.openxmlformats.org/officeDocument/2006/relationships/hyperlink" Target="http://www.xnview.com/" TargetMode="External"/><Relationship Id="rId243" Type="http://schemas.openxmlformats.org/officeDocument/2006/relationships/hyperlink" Target="https://drive.google.com/file/d/0ByLIAFlgldSoNWRVajlHZGwwbG8/view?usp=sharing" TargetMode="External"/><Relationship Id="rId264" Type="http://schemas.openxmlformats.org/officeDocument/2006/relationships/hyperlink" Target="https://drive.google.com/file/d/0ByLIAFlgldSoazdjYnVQekY2TTg/view?usp=sharing" TargetMode="External"/><Relationship Id="rId285" Type="http://schemas.openxmlformats.org/officeDocument/2006/relationships/hyperlink" Target="https://github.com/jonsneyers/FLIF" TargetMode="External"/><Relationship Id="rId17" Type="http://schemas.openxmlformats.org/officeDocument/2006/relationships/hyperlink" Target="http://www.imagecompression.info/gralic/Gralic111d.zip" TargetMode="External"/><Relationship Id="rId38" Type="http://schemas.openxmlformats.org/officeDocument/2006/relationships/hyperlink" Target="http://www.intuac.com/userport/john/apt/" TargetMode="External"/><Relationship Id="rId59" Type="http://schemas.openxmlformats.org/officeDocument/2006/relationships/hyperlink" Target="http://www.rarlabs.com/" TargetMode="External"/><Relationship Id="rId103" Type="http://schemas.openxmlformats.org/officeDocument/2006/relationships/hyperlink" Target="ftp://ftp.sac.sk/pub/sac/pack/compress.zip" TargetMode="External"/><Relationship Id="rId124" Type="http://schemas.openxmlformats.org/officeDocument/2006/relationships/hyperlink" Target="http://www.gimp.org/downloads/" TargetMode="External"/><Relationship Id="rId310" Type="http://schemas.openxmlformats.org/officeDocument/2006/relationships/hyperlink" Target="https://drive.google.com/open?id=0B_X1BeQ2TuWiVE43ZGZOWW1ZMGs" TargetMode="External"/><Relationship Id="rId70" Type="http://schemas.openxmlformats.org/officeDocument/2006/relationships/hyperlink" Target="http://www.hpl.hp.com/loco/" TargetMode="External"/><Relationship Id="rId91" Type="http://schemas.openxmlformats.org/officeDocument/2006/relationships/hyperlink" Target="ftp://ftp.csd.uwo.ca/pub/from_wu/v.arith/" TargetMode="External"/><Relationship Id="rId145" Type="http://schemas.openxmlformats.org/officeDocument/2006/relationships/hyperlink" Target="mailto:info@squeezechart.com" TargetMode="External"/><Relationship Id="rId166" Type="http://schemas.openxmlformats.org/officeDocument/2006/relationships/hyperlink" Target="http://www.jpeg.org/jpegxt/software.html" TargetMode="External"/><Relationship Id="rId187" Type="http://schemas.openxmlformats.org/officeDocument/2006/relationships/hyperlink" Target="https://developers.google.com/speed/webp/download" TargetMode="External"/><Relationship Id="rId331" Type="http://schemas.openxmlformats.org/officeDocument/2006/relationships/hyperlink" Target="https://encode.ru/attachment.php?attachmentid=5251&amp;d=1504551035" TargetMode="External"/><Relationship Id="rId352" Type="http://schemas.openxmlformats.org/officeDocument/2006/relationships/hyperlink" Target="http://www.7-zip.org/" TargetMode="External"/><Relationship Id="rId373" Type="http://schemas.openxmlformats.org/officeDocument/2006/relationships/hyperlink" Target="https://encode.ru/attachment.php?attachmentid=5397&amp;d=1507656823" TargetMode="External"/><Relationship Id="rId394" Type="http://schemas.openxmlformats.org/officeDocument/2006/relationships/comments" Target="../comments5.xml"/><Relationship Id="rId1" Type="http://schemas.openxmlformats.org/officeDocument/2006/relationships/hyperlink" Target="http://www.squeezechart.com/" TargetMode="External"/><Relationship Id="rId212" Type="http://schemas.openxmlformats.org/officeDocument/2006/relationships/hyperlink" Target="http://www.xnview.com/" TargetMode="External"/><Relationship Id="rId233" Type="http://schemas.openxmlformats.org/officeDocument/2006/relationships/hyperlink" Target="http://www.squeezechart.com/" TargetMode="External"/><Relationship Id="rId254" Type="http://schemas.openxmlformats.org/officeDocument/2006/relationships/hyperlink" Target="https://drive.google.com/file/d/0ByLIAFlgldSoMHBBRkhFMUNPS3M/view?usp=sharing" TargetMode="External"/><Relationship Id="rId28" Type="http://schemas.openxmlformats.org/officeDocument/2006/relationships/hyperlink" Target="http://www.xnview.com/" TargetMode="External"/><Relationship Id="rId49" Type="http://schemas.openxmlformats.org/officeDocument/2006/relationships/hyperlink" Target="https://sites.google.com/site/sbcarchiver/" TargetMode="External"/><Relationship Id="rId114" Type="http://schemas.openxmlformats.org/officeDocument/2006/relationships/hyperlink" Target="http://www.kakadusoftware.com/" TargetMode="External"/><Relationship Id="rId275" Type="http://schemas.openxmlformats.org/officeDocument/2006/relationships/hyperlink" Target="https://github.com/gameclosure/gcif" TargetMode="External"/><Relationship Id="rId296" Type="http://schemas.openxmlformats.org/officeDocument/2006/relationships/hyperlink" Target="http://www.gfwx.org/" TargetMode="External"/><Relationship Id="rId300" Type="http://schemas.openxmlformats.org/officeDocument/2006/relationships/hyperlink" Target="https://github.com/jonsneyers/FLIF" TargetMode="External"/><Relationship Id="rId60" Type="http://schemas.openxmlformats.org/officeDocument/2006/relationships/hyperlink" Target="http://compression.ru/ds/bmf_2_01.rar" TargetMode="External"/><Relationship Id="rId81" Type="http://schemas.openxmlformats.org/officeDocument/2006/relationships/hyperlink" Target="https://github.com/thorfdbg/libjpeg" TargetMode="External"/><Relationship Id="rId135" Type="http://schemas.openxmlformats.org/officeDocument/2006/relationships/hyperlink" Target="http://www.xnview.com/" TargetMode="External"/><Relationship Id="rId156" Type="http://schemas.openxmlformats.org/officeDocument/2006/relationships/hyperlink" Target="http://encode.ru/attachment.php?attachmentid=1501&amp;d=1298990074" TargetMode="External"/><Relationship Id="rId177" Type="http://schemas.openxmlformats.org/officeDocument/2006/relationships/hyperlink" Target="https://developers.google.com/speed/webp/download" TargetMode="External"/><Relationship Id="rId198" Type="http://schemas.openxmlformats.org/officeDocument/2006/relationships/hyperlink" Target="https://github.com/jonsneyers/FLIF" TargetMode="External"/><Relationship Id="rId321" Type="http://schemas.openxmlformats.org/officeDocument/2006/relationships/hyperlink" Target="https://encode.ru/attachment.php?attachmentid=5122&amp;d=1503087121" TargetMode="External"/><Relationship Id="rId342" Type="http://schemas.openxmlformats.org/officeDocument/2006/relationships/hyperlink" Target="http://www.winzip.com/" TargetMode="External"/><Relationship Id="rId363" Type="http://schemas.openxmlformats.org/officeDocument/2006/relationships/hyperlink" Target="https://encode.ru/attachment.php?attachmentid=5284&amp;d=1504849543" TargetMode="External"/><Relationship Id="rId384" Type="http://schemas.openxmlformats.org/officeDocument/2006/relationships/hyperlink" Target="http://www.squeezechart.com/tex5.dds" TargetMode="External"/><Relationship Id="rId202" Type="http://schemas.openxmlformats.org/officeDocument/2006/relationships/hyperlink" Target="http://www.researchandtechnology.net/bcif/index.php" TargetMode="External"/><Relationship Id="rId223" Type="http://schemas.openxmlformats.org/officeDocument/2006/relationships/hyperlink" Target="http://www.xnview.com/" TargetMode="External"/><Relationship Id="rId244" Type="http://schemas.openxmlformats.org/officeDocument/2006/relationships/hyperlink" Target="https://drive.google.com/file/d/0ByLIAFlgldSobkRkVTdkTG1EVUk/view?usp=sharing" TargetMode="External"/><Relationship Id="rId18" Type="http://schemas.openxmlformats.org/officeDocument/2006/relationships/hyperlink" Target="http://sourceforge.net/projects/libpgf/" TargetMode="External"/><Relationship Id="rId39" Type="http://schemas.openxmlformats.org/officeDocument/2006/relationships/hyperlink" Target="http://jpegclub.org/jcropsrc.zip" TargetMode="External"/><Relationship Id="rId265" Type="http://schemas.openxmlformats.org/officeDocument/2006/relationships/hyperlink" Target="https://drive.google.com/file/d/0ByLIAFlgldSoazdjYnVQekY2TTg/view?usp=sharing" TargetMode="External"/><Relationship Id="rId286" Type="http://schemas.openxmlformats.org/officeDocument/2006/relationships/hyperlink" Target="https://github.com/jonsneyers/FLIF" TargetMode="External"/><Relationship Id="rId50" Type="http://schemas.openxmlformats.org/officeDocument/2006/relationships/hyperlink" Target="http://www.rawzor.com/" TargetMode="External"/><Relationship Id="rId104" Type="http://schemas.openxmlformats.org/officeDocument/2006/relationships/hyperlink" Target="http://compression.ru/ds/bmf_2_01.rar" TargetMode="External"/><Relationship Id="rId125" Type="http://schemas.openxmlformats.org/officeDocument/2006/relationships/hyperlink" Target="http://www.corel.com/" TargetMode="External"/><Relationship Id="rId146" Type="http://schemas.openxmlformats.org/officeDocument/2006/relationships/hyperlink" Target="http://encode.narod.ru/bim001.zip" TargetMode="External"/><Relationship Id="rId167" Type="http://schemas.openxmlformats.org/officeDocument/2006/relationships/hyperlink" Target="http://bellard.org/bpg/" TargetMode="External"/><Relationship Id="rId188" Type="http://schemas.openxmlformats.org/officeDocument/2006/relationships/hyperlink" Target="https://github.com/jonsneyers/FLIF" TargetMode="External"/><Relationship Id="rId311" Type="http://schemas.openxmlformats.org/officeDocument/2006/relationships/hyperlink" Target="https://github.com/jonsneyers/FLIF" TargetMode="External"/><Relationship Id="rId332" Type="http://schemas.openxmlformats.org/officeDocument/2006/relationships/hyperlink" Target="https://encode.ru/attachment.php?attachmentid=5251&amp;d=1504551035" TargetMode="External"/><Relationship Id="rId353" Type="http://schemas.openxmlformats.org/officeDocument/2006/relationships/hyperlink" Target="http://mattmahoney.net/dc/zpaq.html" TargetMode="External"/><Relationship Id="rId374" Type="http://schemas.openxmlformats.org/officeDocument/2006/relationships/hyperlink" Target="https://goo.gl/EDd1sS" TargetMode="External"/><Relationship Id="rId71" Type="http://schemas.openxmlformats.org/officeDocument/2006/relationships/hyperlink" Target="http://replay.waybackmachine.org/20030126170744/http:/www.cipr.rpi.edu/research/SPIHT/EW_Code/lsp.exe" TargetMode="External"/><Relationship Id="rId92" Type="http://schemas.openxmlformats.org/officeDocument/2006/relationships/hyperlink" Target="http://www.caravian.com/research/packages/pwc.zip" TargetMode="External"/><Relationship Id="rId213" Type="http://schemas.openxmlformats.org/officeDocument/2006/relationships/hyperlink" Target="http://www.xnview.com/" TargetMode="External"/><Relationship Id="rId234" Type="http://schemas.openxmlformats.org/officeDocument/2006/relationships/hyperlink" Target="http://phil.cdc.gov/PHIL_Images/7318/7318.tif" TargetMode="External"/><Relationship Id="rId2" Type="http://schemas.openxmlformats.org/officeDocument/2006/relationships/hyperlink" Target="http://www.squeezechart.com/" TargetMode="External"/><Relationship Id="rId29" Type="http://schemas.openxmlformats.org/officeDocument/2006/relationships/hyperlink" Target="http://www.xnview.com/" TargetMode="External"/><Relationship Id="rId255" Type="http://schemas.openxmlformats.org/officeDocument/2006/relationships/hyperlink" Target="https://drive.google.com/file/d/0ByLIAFlgldSoUy1QcU15REZXRW8/view?usp=sharing" TargetMode="External"/><Relationship Id="rId276" Type="http://schemas.openxmlformats.org/officeDocument/2006/relationships/hyperlink" Target="https://github.com/gameclosure/gcif" TargetMode="External"/><Relationship Id="rId297" Type="http://schemas.openxmlformats.org/officeDocument/2006/relationships/hyperlink" Target="http://www.gfwx.org/" TargetMode="External"/><Relationship Id="rId40" Type="http://schemas.openxmlformats.org/officeDocument/2006/relationships/hyperlink" Target="http://www.intuac.com/userport/john/btpc5/index.html" TargetMode="External"/><Relationship Id="rId115" Type="http://schemas.openxmlformats.org/officeDocument/2006/relationships/hyperlink" Target="http://optipng.sourceforge.net/" TargetMode="External"/><Relationship Id="rId136" Type="http://schemas.openxmlformats.org/officeDocument/2006/relationships/hyperlink" Target="http://www.xnview.com/" TargetMode="External"/><Relationship Id="rId157" Type="http://schemas.openxmlformats.org/officeDocument/2006/relationships/hyperlink" Target="http://web.archive.org/web/20021015062336/http:/byron.csse.monash.edu.au/glicbawls/index.html" TargetMode="External"/><Relationship Id="rId178" Type="http://schemas.openxmlformats.org/officeDocument/2006/relationships/hyperlink" Target="https://developers.google.com/speed/webp/download" TargetMode="External"/><Relationship Id="rId301" Type="http://schemas.openxmlformats.org/officeDocument/2006/relationships/hyperlink" Target="https://github.com/jonsneyers/FLIF" TargetMode="External"/><Relationship Id="rId322" Type="http://schemas.openxmlformats.org/officeDocument/2006/relationships/hyperlink" Target="https://drive.google.com/drive/folders/0B_X1BeQ2TuWibTBmVG90S0k1bVE" TargetMode="External"/><Relationship Id="rId343" Type="http://schemas.openxmlformats.org/officeDocument/2006/relationships/hyperlink" Target="http://heartofcomp.altervista.org/zcm092.zip" TargetMode="External"/><Relationship Id="rId364" Type="http://schemas.openxmlformats.org/officeDocument/2006/relationships/hyperlink" Target="https://encode.ru/attachment.php?attachmentid=5284&amp;d=1504849543" TargetMode="External"/><Relationship Id="rId61" Type="http://schemas.openxmlformats.org/officeDocument/2006/relationships/hyperlink" Target="http://www.imagecompression.info/gralic/flic21d.zip" TargetMode="External"/><Relationship Id="rId82" Type="http://schemas.openxmlformats.org/officeDocument/2006/relationships/hyperlink" Target="http://bjoern.hoehrmann.de/pngwolf/" TargetMode="External"/><Relationship Id="rId199" Type="http://schemas.openxmlformats.org/officeDocument/2006/relationships/hyperlink" Target="https://github.com/jonsneyers/FLIF" TargetMode="External"/><Relationship Id="rId203" Type="http://schemas.openxmlformats.org/officeDocument/2006/relationships/hyperlink" Target="http://www.openjpeg.org/" TargetMode="External"/><Relationship Id="rId385" Type="http://schemas.openxmlformats.org/officeDocument/2006/relationships/hyperlink" Target="http://www.squeezechart.com/tex6.dds" TargetMode="External"/><Relationship Id="rId19" Type="http://schemas.openxmlformats.org/officeDocument/2006/relationships/hyperlink" Target="http://mattmahoney.net/dc/text.html" TargetMode="External"/><Relationship Id="rId224" Type="http://schemas.openxmlformats.org/officeDocument/2006/relationships/hyperlink" Target="http://bjoern.hoehrmann.de/pngwolf/" TargetMode="External"/><Relationship Id="rId245" Type="http://schemas.openxmlformats.org/officeDocument/2006/relationships/hyperlink" Target="https://drive.google.com/file/d/0ByLIAFlgldSoaldqMzZ3MTRXemM/view?usp=sharing" TargetMode="External"/><Relationship Id="rId266" Type="http://schemas.openxmlformats.org/officeDocument/2006/relationships/hyperlink" Target="https://drive.google.com/file/d/0ByLIAFlgldSoazdjYnVQekY2TTg/view?usp=sharing" TargetMode="External"/><Relationship Id="rId287" Type="http://schemas.openxmlformats.org/officeDocument/2006/relationships/hyperlink" Target="https://github.com/jonsneyers/FLIF" TargetMode="External"/><Relationship Id="rId30" Type="http://schemas.openxmlformats.org/officeDocument/2006/relationships/hyperlink" Target="http://www.xnview.com/" TargetMode="External"/><Relationship Id="rId105" Type="http://schemas.openxmlformats.org/officeDocument/2006/relationships/hyperlink" Target="ftp://ftp.sac.sk/pub/sac/pack/arh140.zip" TargetMode="External"/><Relationship Id="rId126" Type="http://schemas.openxmlformats.org/officeDocument/2006/relationships/hyperlink" Target="http://www.gimp.org/downloads/" TargetMode="External"/><Relationship Id="rId147" Type="http://schemas.openxmlformats.org/officeDocument/2006/relationships/hyperlink" Target="http://heartofcomp.altervista.org/zcm.zip" TargetMode="External"/><Relationship Id="rId168" Type="http://schemas.openxmlformats.org/officeDocument/2006/relationships/hyperlink" Target="https://github.com/mathieuchartier/mcm/tree/v0.83" TargetMode="External"/><Relationship Id="rId312" Type="http://schemas.openxmlformats.org/officeDocument/2006/relationships/hyperlink" Target="https://github.com/jonsneyers/FLIF" TargetMode="External"/><Relationship Id="rId333" Type="http://schemas.openxmlformats.org/officeDocument/2006/relationships/hyperlink" Target="http://www.nanozip.net/" TargetMode="External"/><Relationship Id="rId354" Type="http://schemas.openxmlformats.org/officeDocument/2006/relationships/hyperlink" Target="https://github.com/mathieuchartier/mcm/tree/v0.83" TargetMode="External"/><Relationship Id="rId51" Type="http://schemas.openxmlformats.org/officeDocument/2006/relationships/hyperlink" Target="http://www.stuffit.com/" TargetMode="External"/><Relationship Id="rId72" Type="http://schemas.openxmlformats.org/officeDocument/2006/relationships/hyperlink" Target="ftp://ftp.sac.sk/pub/sac/pack/compress.zip" TargetMode="External"/><Relationship Id="rId93" Type="http://schemas.openxmlformats.org/officeDocument/2006/relationships/hyperlink" Target="http://itohws03.ee.noda.sut.ac.jp/~matsuda/mrp/" TargetMode="External"/><Relationship Id="rId189" Type="http://schemas.openxmlformats.org/officeDocument/2006/relationships/hyperlink" Target="https://github.com/jonsneyers/FLIF" TargetMode="External"/><Relationship Id="rId375" Type="http://schemas.openxmlformats.org/officeDocument/2006/relationships/hyperlink" Target="https://encode.ru/attachment.php?attachmentid=5397&amp;d=1507656823" TargetMode="External"/><Relationship Id="rId3" Type="http://schemas.openxmlformats.org/officeDocument/2006/relationships/hyperlink" Target="mailto:mark@photographyblog.com" TargetMode="External"/><Relationship Id="rId214" Type="http://schemas.openxmlformats.org/officeDocument/2006/relationships/hyperlink" Target="http://www.getpaint.net/" TargetMode="External"/><Relationship Id="rId235" Type="http://schemas.openxmlformats.org/officeDocument/2006/relationships/hyperlink" Target="http://www.squeezechart.com/" TargetMode="External"/><Relationship Id="rId256" Type="http://schemas.openxmlformats.org/officeDocument/2006/relationships/hyperlink" Target="https://drive.google.com/file/d/0ByLIAFlgldSoazdjYnVQekY2TTg/view?usp=sharing" TargetMode="External"/><Relationship Id="rId277" Type="http://schemas.openxmlformats.org/officeDocument/2006/relationships/hyperlink" Target="https://github.com/gameclosure/gcif" TargetMode="External"/><Relationship Id="rId298" Type="http://schemas.openxmlformats.org/officeDocument/2006/relationships/hyperlink" Target="http://www.gfwx.org/" TargetMode="External"/><Relationship Id="rId116" Type="http://schemas.openxmlformats.org/officeDocument/2006/relationships/hyperlink" Target="http://www.xnview.com/" TargetMode="External"/><Relationship Id="rId137" Type="http://schemas.openxmlformats.org/officeDocument/2006/relationships/hyperlink" Target="http://www.xnview.com/" TargetMode="External"/><Relationship Id="rId158" Type="http://schemas.openxmlformats.org/officeDocument/2006/relationships/hyperlink" Target="http://sourceforge.net/projects/libpgf/" TargetMode="External"/><Relationship Id="rId302" Type="http://schemas.openxmlformats.org/officeDocument/2006/relationships/hyperlink" Target="https://github.com/jonsneyers/FLIF" TargetMode="External"/><Relationship Id="rId323" Type="http://schemas.openxmlformats.org/officeDocument/2006/relationships/hyperlink" Target="http://www.powerarchiver.com/" TargetMode="External"/><Relationship Id="rId344" Type="http://schemas.openxmlformats.org/officeDocument/2006/relationships/hyperlink" Target="http://heartofcomp.altervista.org/packet1.9.zip" TargetMode="External"/><Relationship Id="rId20" Type="http://schemas.openxmlformats.org/officeDocument/2006/relationships/hyperlink" Target="ftp://ftp.sac.sk/pub/sac/pack/rkim106.zip" TargetMode="External"/><Relationship Id="rId41" Type="http://schemas.openxmlformats.org/officeDocument/2006/relationships/hyperlink" Target="http://imagezero.maxiom.de/" TargetMode="External"/><Relationship Id="rId62" Type="http://schemas.openxmlformats.org/officeDocument/2006/relationships/hyperlink" Target="http://www.imagecompression.info/gralic/Gralic111d.zip" TargetMode="External"/><Relationship Id="rId83" Type="http://schemas.openxmlformats.org/officeDocument/2006/relationships/hyperlink" Target="http://www.openexr.com/" TargetMode="External"/><Relationship Id="rId179" Type="http://schemas.openxmlformats.org/officeDocument/2006/relationships/hyperlink" Target="https://developers.google.com/speed/webp/download" TargetMode="External"/><Relationship Id="rId365" Type="http://schemas.openxmlformats.org/officeDocument/2006/relationships/hyperlink" Target="https://github.com/GPUOpen-Tools/Compressonator/tree/master/Compressonator/Source/Codec" TargetMode="External"/><Relationship Id="rId386" Type="http://schemas.openxmlformats.org/officeDocument/2006/relationships/hyperlink" Target="http://www.squeezechart.com/tex7.rgb" TargetMode="External"/><Relationship Id="rId190" Type="http://schemas.openxmlformats.org/officeDocument/2006/relationships/hyperlink" Target="https://github.com/jonsneyers/FLIF" TargetMode="External"/><Relationship Id="rId204" Type="http://schemas.openxmlformats.org/officeDocument/2006/relationships/hyperlink" Target="http://sourceforge.net/projects/libpgf/" TargetMode="External"/><Relationship Id="rId225" Type="http://schemas.openxmlformats.org/officeDocument/2006/relationships/hyperlink" Target="http://css-ig.net/pngslim" TargetMode="External"/><Relationship Id="rId246" Type="http://schemas.openxmlformats.org/officeDocument/2006/relationships/hyperlink" Target="https://drive.google.com/file/d/0ByLIAFlgldSoQVdpRFdpSWpHWXM/view?usp=sharing" TargetMode="External"/><Relationship Id="rId267" Type="http://schemas.openxmlformats.org/officeDocument/2006/relationships/hyperlink" Target="https://drive.google.com/file/d/0ByLIAFlgldSoazdjYnVQekY2TTg/view?usp=sharing" TargetMode="External"/><Relationship Id="rId288" Type="http://schemas.openxmlformats.org/officeDocument/2006/relationships/hyperlink" Target="https://github.com/jonsneyers/FLIF" TargetMode="External"/><Relationship Id="rId106" Type="http://schemas.openxmlformats.org/officeDocument/2006/relationships/hyperlink" Target="ftp://ftp.sac.sk/pub/sac/pack/arh140.zip" TargetMode="External"/><Relationship Id="rId127" Type="http://schemas.openxmlformats.org/officeDocument/2006/relationships/hyperlink" Target="http://www.corel.com/" TargetMode="External"/><Relationship Id="rId313" Type="http://schemas.openxmlformats.org/officeDocument/2006/relationships/hyperlink" Target="https://drive.google.com/open?id=0B_X1BeQ2TuWiVE43ZGZOWW1ZMGs" TargetMode="External"/><Relationship Id="rId10" Type="http://schemas.openxmlformats.org/officeDocument/2006/relationships/hyperlink" Target="http://freearc.org/" TargetMode="External"/><Relationship Id="rId31" Type="http://schemas.openxmlformats.org/officeDocument/2006/relationships/hyperlink" Target="http://www.xnview.com/" TargetMode="External"/><Relationship Id="rId52" Type="http://schemas.openxmlformats.org/officeDocument/2006/relationships/hyperlink" Target="http://www.nanozip.net/" TargetMode="External"/><Relationship Id="rId73" Type="http://schemas.openxmlformats.org/officeDocument/2006/relationships/hyperlink" Target="ftp://ftp.sac.sk/pub/sac/pack/winrk312.exe" TargetMode="External"/><Relationship Id="rId94" Type="http://schemas.openxmlformats.org/officeDocument/2006/relationships/hyperlink" Target="ftp://ftp.csd.uwo.ca/pub/from_wu/v.arith/" TargetMode="External"/><Relationship Id="rId148" Type="http://schemas.openxmlformats.org/officeDocument/2006/relationships/hyperlink" Target="https://github.com/thorfdbg/libjpeg" TargetMode="External"/><Relationship Id="rId169" Type="http://schemas.openxmlformats.org/officeDocument/2006/relationships/hyperlink" Target="https://github.com/mathieuchartier/mcm/tree/v0.83" TargetMode="External"/><Relationship Id="rId334" Type="http://schemas.openxmlformats.org/officeDocument/2006/relationships/hyperlink" Target="http://freearc.org/" TargetMode="External"/><Relationship Id="rId355" Type="http://schemas.openxmlformats.org/officeDocument/2006/relationships/hyperlink" Target="https://encode.ru/attachment.php?attachmentid=5284&amp;d=1504849543" TargetMode="External"/><Relationship Id="rId376" Type="http://schemas.openxmlformats.org/officeDocument/2006/relationships/hyperlink" Target="https://goo.gl/EDd1sS" TargetMode="External"/><Relationship Id="rId4" Type="http://schemas.openxmlformats.org/officeDocument/2006/relationships/hyperlink" Target="mailto:mark@photographyblog.com" TargetMode="External"/><Relationship Id="rId180" Type="http://schemas.openxmlformats.org/officeDocument/2006/relationships/hyperlink" Target="https://developers.google.com/speed/webp/download" TargetMode="External"/><Relationship Id="rId215" Type="http://schemas.openxmlformats.org/officeDocument/2006/relationships/hyperlink" Target="http://bellard.org/bpg/" TargetMode="External"/><Relationship Id="rId236" Type="http://schemas.openxmlformats.org/officeDocument/2006/relationships/hyperlink" Target="http://www.squeezechart.com/" TargetMode="External"/><Relationship Id="rId257" Type="http://schemas.openxmlformats.org/officeDocument/2006/relationships/hyperlink" Target="https://drive.google.com/file/d/0ByLIAFlgldSoazdjYnVQekY2TTg/view?usp=sharing" TargetMode="External"/><Relationship Id="rId278" Type="http://schemas.openxmlformats.org/officeDocument/2006/relationships/hyperlink" Target="https://github.com/jonsneyers/FLIF" TargetMode="External"/><Relationship Id="rId303" Type="http://schemas.openxmlformats.org/officeDocument/2006/relationships/hyperlink" Target="https://github.com/jonsneyers/FLIF" TargetMode="External"/><Relationship Id="rId42" Type="http://schemas.openxmlformats.org/officeDocument/2006/relationships/hyperlink" Target="http://charls.codeplex.com/" TargetMode="External"/><Relationship Id="rId84" Type="http://schemas.openxmlformats.org/officeDocument/2006/relationships/hyperlink" Target="http://www.adobe.com/go/dng_converter_win" TargetMode="External"/><Relationship Id="rId138" Type="http://schemas.openxmlformats.org/officeDocument/2006/relationships/hyperlink" Target="http://www.studioline.net/" TargetMode="External"/><Relationship Id="rId345" Type="http://schemas.openxmlformats.org/officeDocument/2006/relationships/hyperlink" Target="https://encode.ru/attachment.php?attachmentid=5296&amp;d=1505059819" TargetMode="External"/><Relationship Id="rId387" Type="http://schemas.openxmlformats.org/officeDocument/2006/relationships/hyperlink" Target="https://encode.ru/attachment.php?attachmentid=5493&amp;d=1510501914" TargetMode="External"/><Relationship Id="rId191" Type="http://schemas.openxmlformats.org/officeDocument/2006/relationships/hyperlink" Target="https://github.com/jonsneyers/FLIF" TargetMode="External"/><Relationship Id="rId205" Type="http://schemas.openxmlformats.org/officeDocument/2006/relationships/hyperlink" Target="http://packjpg.encode.ru/?page_id=73" TargetMode="External"/><Relationship Id="rId247" Type="http://schemas.openxmlformats.org/officeDocument/2006/relationships/hyperlink" Target="https://drive.google.com/file/d/0ByLIAFlgldSoRFBKUUtWSUw1S2c/view?usp=sharing" TargetMode="External"/><Relationship Id="rId107" Type="http://schemas.openxmlformats.org/officeDocument/2006/relationships/hyperlink" Target="http://sourceforge.net/projects/pyramidworkshop/" TargetMode="External"/><Relationship Id="rId289" Type="http://schemas.openxmlformats.org/officeDocument/2006/relationships/hyperlink" Target="https://github.com/jonsneyers/FLIF" TargetMode="External"/><Relationship Id="rId11" Type="http://schemas.openxmlformats.org/officeDocument/2006/relationships/hyperlink" Target="http://www.speedproject.de/enu/" TargetMode="External"/><Relationship Id="rId53" Type="http://schemas.openxmlformats.org/officeDocument/2006/relationships/hyperlink" Target="http://freearc.org/" TargetMode="External"/><Relationship Id="rId149" Type="http://schemas.openxmlformats.org/officeDocument/2006/relationships/hyperlink" Target="https://github.com/thorfdbg/libjpeg" TargetMode="External"/><Relationship Id="rId314" Type="http://schemas.openxmlformats.org/officeDocument/2006/relationships/hyperlink" Target="https://encode.ru/attachment.php?attachmentid=5102&amp;d=1502725544" TargetMode="External"/><Relationship Id="rId356" Type="http://schemas.openxmlformats.org/officeDocument/2006/relationships/hyperlink" Target="https://encode.ru/attachment.php?attachmentid=5296&amp;d=1505059819" TargetMode="External"/><Relationship Id="rId95" Type="http://schemas.openxmlformats.org/officeDocument/2006/relationships/hyperlink" Target="http://www.caravian.com/research/packages/pwc.zip" TargetMode="External"/><Relationship Id="rId160" Type="http://schemas.openxmlformats.org/officeDocument/2006/relationships/hyperlink" Target="http://www.rarlabs.com/" TargetMode="External"/><Relationship Id="rId216" Type="http://schemas.openxmlformats.org/officeDocument/2006/relationships/hyperlink" Target="http://www.xnview.com/" TargetMode="External"/><Relationship Id="rId258" Type="http://schemas.openxmlformats.org/officeDocument/2006/relationships/hyperlink" Target="https://drive.google.com/file/d/0ByLIAFlgldSoazdjYnVQekY2TTg/view?usp=sharing" TargetMode="External"/><Relationship Id="rId22" Type="http://schemas.openxmlformats.org/officeDocument/2006/relationships/hyperlink" Target="ftp://ftp.sac.sk/pub/sac/pack/uhic20.zip" TargetMode="External"/><Relationship Id="rId64" Type="http://schemas.openxmlformats.org/officeDocument/2006/relationships/hyperlink" Target="http://packjpg.encode.ru/?page_id=73" TargetMode="External"/><Relationship Id="rId118" Type="http://schemas.openxmlformats.org/officeDocument/2006/relationships/hyperlink" Target="http://www.openjpeg.org/" TargetMode="External"/><Relationship Id="rId325" Type="http://schemas.openxmlformats.org/officeDocument/2006/relationships/hyperlink" Target="https://drive.google.com/drive/folders/0B_X1BeQ2TuWibTBmVG90S0k1bVE" TargetMode="External"/><Relationship Id="rId367" Type="http://schemas.openxmlformats.org/officeDocument/2006/relationships/hyperlink" Target="https://github.com/GPUOpen-Tools/Compressonator/tree/master/Compressonator/Source/Codec" TargetMode="External"/><Relationship Id="rId171" Type="http://schemas.openxmlformats.org/officeDocument/2006/relationships/hyperlink" Target="https://developers.google.com/speed/webp/download" TargetMode="External"/><Relationship Id="rId227" Type="http://schemas.openxmlformats.org/officeDocument/2006/relationships/hyperlink" Target="http://css-ig.net/pngslim" TargetMode="External"/><Relationship Id="rId269" Type="http://schemas.openxmlformats.org/officeDocument/2006/relationships/hyperlink" Target="https://drive.google.com/file/d/0ByLIAFlgldSoazdjYnVQekY2TTg/view?usp=sharing" TargetMode="External"/><Relationship Id="rId33" Type="http://schemas.openxmlformats.org/officeDocument/2006/relationships/hyperlink" Target="ftp://ftp.sac.sk/pub/sac/pack/compress.zip" TargetMode="External"/><Relationship Id="rId129" Type="http://schemas.openxmlformats.org/officeDocument/2006/relationships/hyperlink" Target="http://www.xnview.com/" TargetMode="External"/><Relationship Id="rId280" Type="http://schemas.openxmlformats.org/officeDocument/2006/relationships/hyperlink" Target="https://github.com/jonsneyers/FLIF" TargetMode="External"/><Relationship Id="rId336" Type="http://schemas.openxmlformats.org/officeDocument/2006/relationships/hyperlink" Target="http://mattmahoney.net/dc/text.html" TargetMode="External"/><Relationship Id="rId75" Type="http://schemas.openxmlformats.org/officeDocument/2006/relationships/hyperlink" Target="http://www.softpedia.com/dyn-postdownload.php?p=131267&amp;t=0&amp;i=1" TargetMode="External"/><Relationship Id="rId140" Type="http://schemas.openxmlformats.org/officeDocument/2006/relationships/hyperlink" Target="http://encode.narod.ru/bim001.zip" TargetMode="External"/><Relationship Id="rId182" Type="http://schemas.openxmlformats.org/officeDocument/2006/relationships/hyperlink" Target="http://bellard.org/bpg" TargetMode="External"/><Relationship Id="rId378" Type="http://schemas.openxmlformats.org/officeDocument/2006/relationships/hyperlink" Target="https://goo.gl/EDd1sS" TargetMode="External"/><Relationship Id="rId6" Type="http://schemas.openxmlformats.org/officeDocument/2006/relationships/hyperlink" Target="mailto:copyright@stsci.edu" TargetMode="External"/><Relationship Id="rId238" Type="http://schemas.openxmlformats.org/officeDocument/2006/relationships/hyperlink" Target="http://www.squeezechart.com/" TargetMode="External"/><Relationship Id="rId291" Type="http://schemas.openxmlformats.org/officeDocument/2006/relationships/hyperlink" Target="https://github.com/jonsneyers/FLIF" TargetMode="External"/><Relationship Id="rId305" Type="http://schemas.openxmlformats.org/officeDocument/2006/relationships/hyperlink" Target="http://heartofcomp.altervista.org/packet1.9.zip" TargetMode="External"/><Relationship Id="rId347" Type="http://schemas.openxmlformats.org/officeDocument/2006/relationships/hyperlink" Target="https://drive.google.com/drive/folders/0B_X1BeQ2TuWibTBmVG90S0k1bVE" TargetMode="External"/><Relationship Id="rId44" Type="http://schemas.openxmlformats.org/officeDocument/2006/relationships/hyperlink" Target="http://bjoern.hoehrmann.de/pngwolf/" TargetMode="External"/><Relationship Id="rId86" Type="http://schemas.openxmlformats.org/officeDocument/2006/relationships/hyperlink" Target="http://www.gzip.org/" TargetMode="External"/><Relationship Id="rId151" Type="http://schemas.openxmlformats.org/officeDocument/2006/relationships/hyperlink" Target="http://www.xnview.com/" TargetMode="External"/><Relationship Id="rId389" Type="http://schemas.openxmlformats.org/officeDocument/2006/relationships/hyperlink" Target="https://encode.ru/attachment.php?attachmentid=5493&amp;d=1510501914" TargetMode="External"/><Relationship Id="rId193" Type="http://schemas.openxmlformats.org/officeDocument/2006/relationships/hyperlink" Target="http://www.mattmahoney.net/dc/text.html" TargetMode="External"/><Relationship Id="rId207" Type="http://schemas.openxmlformats.org/officeDocument/2006/relationships/hyperlink" Target="http://heartofcomp.altervista.org/zcm092.zip" TargetMode="External"/><Relationship Id="rId249" Type="http://schemas.openxmlformats.org/officeDocument/2006/relationships/hyperlink" Target="https://drive.google.com/file/d/0ByLIAFlgldSoMHIyaFlrVk5HQTA/view?usp=sharing" TargetMode="External"/><Relationship Id="rId13" Type="http://schemas.openxmlformats.org/officeDocument/2006/relationships/hyperlink" Target="http://ftp.sac.sk/sac/pack/uharc06b.zip" TargetMode="External"/><Relationship Id="rId109" Type="http://schemas.openxmlformats.org/officeDocument/2006/relationships/hyperlink" Target="http://sourceforge.net/projects/wic/?source=directory" TargetMode="External"/><Relationship Id="rId260" Type="http://schemas.openxmlformats.org/officeDocument/2006/relationships/hyperlink" Target="https://drive.google.com/file/d/0ByLIAFlgldSoazdjYnVQekY2TTg/view?usp=sharing" TargetMode="External"/><Relationship Id="rId316" Type="http://schemas.openxmlformats.org/officeDocument/2006/relationships/hyperlink" Target="https://encode.ru/attachment.php?attachmentid=5102&amp;d=1502725544" TargetMode="External"/><Relationship Id="rId55" Type="http://schemas.openxmlformats.org/officeDocument/2006/relationships/hyperlink" Target="http://www.speedproject.de/enu/" TargetMode="External"/><Relationship Id="rId97" Type="http://schemas.openxmlformats.org/officeDocument/2006/relationships/hyperlink" Target="http://compression.ru/ds/bmf_2_01.rar" TargetMode="External"/><Relationship Id="rId120" Type="http://schemas.openxmlformats.org/officeDocument/2006/relationships/hyperlink" Target="http://www.7-zip.org/" TargetMode="External"/><Relationship Id="rId358" Type="http://schemas.openxmlformats.org/officeDocument/2006/relationships/hyperlink" Target="https://encode.ru/attachment.php?attachmentid=5296&amp;d=1505059819" TargetMode="External"/><Relationship Id="rId162" Type="http://schemas.openxmlformats.org/officeDocument/2006/relationships/hyperlink" Target="http://www.winzip.com/" TargetMode="External"/><Relationship Id="rId218" Type="http://schemas.openxmlformats.org/officeDocument/2006/relationships/hyperlink" Target="http://www.xnview.com/" TargetMode="External"/><Relationship Id="rId271" Type="http://schemas.openxmlformats.org/officeDocument/2006/relationships/hyperlink" Target="https://drive.google.com/file/d/0ByLIAFlgldSoazdjYnVQekY2TTg/view?usp=sharing" TargetMode="External"/><Relationship Id="rId24" Type="http://schemas.openxmlformats.org/officeDocument/2006/relationships/hyperlink" Target="http://www.researchandtechnology.net/bcif/index.php" TargetMode="External"/><Relationship Id="rId66" Type="http://schemas.openxmlformats.org/officeDocument/2006/relationships/hyperlink" Target="ftp://ftp.sac.sk/pub/sac/pack/rkim106.zip" TargetMode="External"/><Relationship Id="rId131" Type="http://schemas.openxmlformats.org/officeDocument/2006/relationships/hyperlink" Target="http://www.photofiltre.com/" TargetMode="External"/><Relationship Id="rId327" Type="http://schemas.openxmlformats.org/officeDocument/2006/relationships/hyperlink" Target="https://encode.ru/attachment.php?attachmentid=5122&amp;d=1503087121" TargetMode="External"/><Relationship Id="rId369" Type="http://schemas.openxmlformats.org/officeDocument/2006/relationships/hyperlink" Target="https://github.com/GPUOpen-Tools/Compressonator/tree/master/Compressonator/Source/Codec" TargetMode="External"/><Relationship Id="rId173" Type="http://schemas.openxmlformats.org/officeDocument/2006/relationships/hyperlink" Target="https://github.com/jonsneyers/FLIF" TargetMode="External"/><Relationship Id="rId229" Type="http://schemas.openxmlformats.org/officeDocument/2006/relationships/hyperlink" Target="http://qlic.altervista.org/qlic2d.zip" TargetMode="External"/><Relationship Id="rId380" Type="http://schemas.openxmlformats.org/officeDocument/2006/relationships/hyperlink" Target="http://www.squeezechart.com/tex1.dds" TargetMode="External"/><Relationship Id="rId240" Type="http://schemas.openxmlformats.org/officeDocument/2006/relationships/hyperlink" Target="https://drive.google.com/file/d/0ByLIAFlgldSoWHFMakx2bU9vZlU/view?usp=sharing" TargetMode="External"/><Relationship Id="rId35" Type="http://schemas.openxmlformats.org/officeDocument/2006/relationships/hyperlink" Target="https://developers.google.com/speed/webp/download" TargetMode="External"/><Relationship Id="rId77" Type="http://schemas.openxmlformats.org/officeDocument/2006/relationships/hyperlink" Target="http://jpegclub.org/jcropsrc.zip" TargetMode="External"/><Relationship Id="rId100" Type="http://schemas.openxmlformats.org/officeDocument/2006/relationships/hyperlink" Target="http://www.xnview.com/" TargetMode="External"/><Relationship Id="rId282" Type="http://schemas.openxmlformats.org/officeDocument/2006/relationships/hyperlink" Target="https://github.com/jonsneyers/FLIF" TargetMode="External"/><Relationship Id="rId338" Type="http://schemas.openxmlformats.org/officeDocument/2006/relationships/hyperlink" Target="http://www.gzip.org/" TargetMode="External"/><Relationship Id="rId8" Type="http://schemas.openxmlformats.org/officeDocument/2006/relationships/hyperlink" Target="http://www.stuffit.com/" TargetMode="External"/><Relationship Id="rId142" Type="http://schemas.openxmlformats.org/officeDocument/2006/relationships/hyperlink" Target="http://www.imagecompression.info/gralic/qlic1d.zip" TargetMode="External"/><Relationship Id="rId184" Type="http://schemas.openxmlformats.org/officeDocument/2006/relationships/hyperlink" Target="http://www.jpeg.org/jpegxt/software.html" TargetMode="External"/><Relationship Id="rId391" Type="http://schemas.openxmlformats.org/officeDocument/2006/relationships/printerSettings" Target="../printerSettings/printerSettings10.bin"/><Relationship Id="rId251" Type="http://schemas.openxmlformats.org/officeDocument/2006/relationships/hyperlink" Target="https://drive.google.com/file/d/0ByLIAFlgldSoWHVfZ0VNWXlMQlU/view?usp=sharing" TargetMode="External"/><Relationship Id="rId46" Type="http://schemas.openxmlformats.org/officeDocument/2006/relationships/hyperlink" Target="http://www.bzip.org/" TargetMode="External"/><Relationship Id="rId293" Type="http://schemas.openxmlformats.org/officeDocument/2006/relationships/hyperlink" Target="https://github.com/jonsneyers/FLIF" TargetMode="External"/><Relationship Id="rId307" Type="http://schemas.openxmlformats.org/officeDocument/2006/relationships/hyperlink" Target="https://developers.google.com/speed/webp/download" TargetMode="External"/><Relationship Id="rId349" Type="http://schemas.openxmlformats.org/officeDocument/2006/relationships/hyperlink" Target="https://encode.ru/attachment.php?attachmentid=5291&amp;d=1504963462" TargetMode="External"/><Relationship Id="rId88" Type="http://schemas.openxmlformats.org/officeDocument/2006/relationships/hyperlink" Target="https://sites.google.com/site/sbcarchiver/" TargetMode="External"/><Relationship Id="rId111" Type="http://schemas.openxmlformats.org/officeDocument/2006/relationships/hyperlink" Target="http://www.cs.mu.oz.au/mg/mg-1.2.1.tar.gz" TargetMode="External"/><Relationship Id="rId153" Type="http://schemas.openxmlformats.org/officeDocument/2006/relationships/hyperlink" Target="http://encode.narod.ru/bim001.zip" TargetMode="External"/><Relationship Id="rId195" Type="http://schemas.openxmlformats.org/officeDocument/2006/relationships/hyperlink" Target="http://www.imagecompression.info/gralic/Gralic111d.zip" TargetMode="External"/><Relationship Id="rId209" Type="http://schemas.openxmlformats.org/officeDocument/2006/relationships/hyperlink" Target="http://free.zoner.com/" TargetMode="External"/><Relationship Id="rId360" Type="http://schemas.openxmlformats.org/officeDocument/2006/relationships/hyperlink" Target="https://encode.ru/attachment.php?attachmentid=5291&amp;d=1504963462" TargetMode="External"/><Relationship Id="rId220" Type="http://schemas.openxmlformats.org/officeDocument/2006/relationships/hyperlink" Target="http://free.zoner.com/" TargetMode="External"/><Relationship Id="rId15" Type="http://schemas.openxmlformats.org/officeDocument/2006/relationships/hyperlink" Target="http://www.rarlabs.com/" TargetMode="External"/><Relationship Id="rId57" Type="http://schemas.openxmlformats.org/officeDocument/2006/relationships/hyperlink" Target="http://ftp.sac.sk/sac/pack/uharc06b.zip" TargetMode="External"/><Relationship Id="rId262" Type="http://schemas.openxmlformats.org/officeDocument/2006/relationships/hyperlink" Target="https://drive.google.com/file/d/0ByLIAFlgldSoazdjYnVQekY2TTg/view?usp=sharing" TargetMode="External"/><Relationship Id="rId318" Type="http://schemas.openxmlformats.org/officeDocument/2006/relationships/hyperlink" Target="https://encode.ru/attachment.php?attachmentid=5102&amp;d=1502725544" TargetMode="External"/><Relationship Id="rId99" Type="http://schemas.openxmlformats.org/officeDocument/2006/relationships/hyperlink" Target="http://optipng.sourceforge.net/" TargetMode="External"/><Relationship Id="rId122" Type="http://schemas.openxmlformats.org/officeDocument/2006/relationships/hyperlink" Target="http://www.getpaint.net/" TargetMode="External"/><Relationship Id="rId164" Type="http://schemas.openxmlformats.org/officeDocument/2006/relationships/hyperlink" Target="http://heartofcomp.altervista.org/zcm092.zip" TargetMode="External"/><Relationship Id="rId371" Type="http://schemas.openxmlformats.org/officeDocument/2006/relationships/hyperlink" Target="http://media.xiph.org/svt/SGIIMAGESPEC" TargetMode="External"/><Relationship Id="rId26" Type="http://schemas.openxmlformats.org/officeDocument/2006/relationships/hyperlink" Target="http://www.hpl.hp.com/loco/" TargetMode="External"/><Relationship Id="rId231" Type="http://schemas.openxmlformats.org/officeDocument/2006/relationships/hyperlink" Target="http://www.barre.nom.fr/medical/samples/files/MR-MONO2-12-shoulder.gz" TargetMode="External"/><Relationship Id="rId273" Type="http://schemas.openxmlformats.org/officeDocument/2006/relationships/hyperlink" Target="https://drive.google.com/file/d/0ByLIAFlgldSoazdjYnVQekY2TTg/view?usp=sharing" TargetMode="External"/><Relationship Id="rId329" Type="http://schemas.openxmlformats.org/officeDocument/2006/relationships/hyperlink" Target="http://www.powerarchiver.com/" TargetMode="External"/><Relationship Id="rId68" Type="http://schemas.openxmlformats.org/officeDocument/2006/relationships/hyperlink" Target="ftp://ftp.sac.sk/pub/sac/pack/uhic20.zip" TargetMode="External"/><Relationship Id="rId133" Type="http://schemas.openxmlformats.org/officeDocument/2006/relationships/hyperlink" Target="http://www.xnview.com/" TargetMode="External"/><Relationship Id="rId175" Type="http://schemas.openxmlformats.org/officeDocument/2006/relationships/hyperlink" Target="https://developers.google.com/speed/webp/download" TargetMode="External"/><Relationship Id="rId340" Type="http://schemas.openxmlformats.org/officeDocument/2006/relationships/hyperlink" Target="http://encode.ru/attachment.php?attachmentid=1501&amp;d=1298990074" TargetMode="External"/><Relationship Id="rId200" Type="http://schemas.openxmlformats.org/officeDocument/2006/relationships/hyperlink" Target="ftp://ftp.sac.sk/pub/sac/pack/compress.zip" TargetMode="External"/><Relationship Id="rId382" Type="http://schemas.openxmlformats.org/officeDocument/2006/relationships/hyperlink" Target="http://www.squeezechart.com/tex3.dds" TargetMode="External"/></Relationships>
</file>

<file path=xl/worksheets/_rels/sheet11.xml.rels><?xml version="1.0" encoding="UTF-8" standalone="yes"?>
<Relationships xmlns="http://schemas.openxmlformats.org/package/2006/relationships"><Relationship Id="rId1522" Type="http://schemas.openxmlformats.org/officeDocument/2006/relationships/hyperlink" Target="https://github.com/Cyan4973/zstd" TargetMode="External"/><Relationship Id="rId1827" Type="http://schemas.openxmlformats.org/officeDocument/2006/relationships/hyperlink" Target="https://encode.ru/attachment.php?attachmentid=5284&amp;d=1504849543" TargetMode="External"/><Relationship Id="rId21" Type="http://schemas.openxmlformats.org/officeDocument/2006/relationships/hyperlink" Target="http://encode.ru/attachment.php?attachmentid=3211&amp;d=1414109843" TargetMode="External"/><Relationship Id="rId170" Type="http://schemas.openxmlformats.org/officeDocument/2006/relationships/hyperlink" Target="http://www.emit.jp/dgca/dgca_e.html" TargetMode="External"/><Relationship Id="rId268" Type="http://schemas.openxmlformats.org/officeDocument/2006/relationships/hyperlink" Target="http://nishi.dreamhosters.com/u/reflate_v0c1.rar" TargetMode="External"/><Relationship Id="rId475" Type="http://schemas.openxmlformats.org/officeDocument/2006/relationships/hyperlink" Target="http://nishi.dreamhosters.com/u/reflate_v0c1.rar" TargetMode="External"/><Relationship Id="rId682" Type="http://schemas.openxmlformats.org/officeDocument/2006/relationships/hyperlink" Target="http://schnaader.info/precomp.php" TargetMode="External"/><Relationship Id="rId128" Type="http://schemas.openxmlformats.org/officeDocument/2006/relationships/hyperlink" Target="http://bzip.org/" TargetMode="External"/><Relationship Id="rId335" Type="http://schemas.openxmlformats.org/officeDocument/2006/relationships/hyperlink" Target="http://www.compression.ru/ds/" TargetMode="External"/><Relationship Id="rId542" Type="http://schemas.openxmlformats.org/officeDocument/2006/relationships/hyperlink" Target="http://www.emit.jp/dgca/dgca_e.html" TargetMode="External"/><Relationship Id="rId987" Type="http://schemas.openxmlformats.org/officeDocument/2006/relationships/hyperlink" Target="http://heartofcomp.altervista.org/packet1.9.zip" TargetMode="External"/><Relationship Id="rId1172" Type="http://schemas.openxmlformats.org/officeDocument/2006/relationships/hyperlink" Target="https://github.com/schnaader/precomp-cpp/releases/download/v0.4.5/precomp.zip" TargetMode="External"/><Relationship Id="rId402" Type="http://schemas.openxmlformats.org/officeDocument/2006/relationships/hyperlink" Target="http://www.winzip.com/" TargetMode="External"/><Relationship Id="rId847" Type="http://schemas.openxmlformats.org/officeDocument/2006/relationships/hyperlink" Target="http://encode.ru/attachment.php?attachmentid=2361&amp;d=1371506860" TargetMode="External"/><Relationship Id="rId1032" Type="http://schemas.openxmlformats.org/officeDocument/2006/relationships/hyperlink" Target="http://nishi.dreamhosters.com/u/flifraw_v1.7z" TargetMode="External"/><Relationship Id="rId1477" Type="http://schemas.openxmlformats.org/officeDocument/2006/relationships/hyperlink" Target="http://encode.ru/attachment.php?attachmentid=4536&amp;d=1468876571" TargetMode="External"/><Relationship Id="rId1684" Type="http://schemas.openxmlformats.org/officeDocument/2006/relationships/hyperlink" Target="http://www.powerarchiver.com/" TargetMode="External"/><Relationship Id="rId1891" Type="http://schemas.openxmlformats.org/officeDocument/2006/relationships/hyperlink" Target="https://encode.ru/attachment.php?attachmentid=5435&amp;d=1508621284" TargetMode="External"/><Relationship Id="rId707" Type="http://schemas.openxmlformats.org/officeDocument/2006/relationships/hyperlink" Target="http://encode.ru/attachment.php?attachmentid=4536&amp;d=1468876571" TargetMode="External"/><Relationship Id="rId914" Type="http://schemas.openxmlformats.org/officeDocument/2006/relationships/hyperlink" Target="https://github.com/Cyan4973/zstd" TargetMode="External"/><Relationship Id="rId1337" Type="http://schemas.openxmlformats.org/officeDocument/2006/relationships/hyperlink" Target="https://github.com/schnaader/precomp-cpp/releases/download/v0.4.5/precomp.zip" TargetMode="External"/><Relationship Id="rId1544" Type="http://schemas.openxmlformats.org/officeDocument/2006/relationships/hyperlink" Target="http://encode.ru/attachment.php?attachmentid=4661&amp;d=1474958346" TargetMode="External"/><Relationship Id="rId1751" Type="http://schemas.openxmlformats.org/officeDocument/2006/relationships/hyperlink" Target="https://encode.ru/attachment.php?attachmentid=5122&amp;d=1503087121" TargetMode="External"/><Relationship Id="rId43" Type="http://schemas.openxmlformats.org/officeDocument/2006/relationships/hyperlink" Target="http://nishi.dreamhosters.com/u/reflate_v0c1.rar" TargetMode="External"/><Relationship Id="rId1404" Type="http://schemas.openxmlformats.org/officeDocument/2006/relationships/hyperlink" Target="https://drive.google.com/open?id=0B_X1BeQ2TuWiWVFVTnhMSFhiZHM" TargetMode="External"/><Relationship Id="rId1611" Type="http://schemas.openxmlformats.org/officeDocument/2006/relationships/hyperlink" Target="https://encode.ru/attachment.php?attachmentid=5131&amp;d=1503168357" TargetMode="External"/><Relationship Id="rId1849" Type="http://schemas.openxmlformats.org/officeDocument/2006/relationships/hyperlink" Target="https://encode.ru/attachment.php?attachmentid=5284&amp;d=1504849543" TargetMode="External"/><Relationship Id="rId192" Type="http://schemas.openxmlformats.org/officeDocument/2006/relationships/hyperlink" Target="http://encode.ru/attachment.php?attachmentid=3211&amp;d=1414109843" TargetMode="External"/><Relationship Id="rId1709" Type="http://schemas.openxmlformats.org/officeDocument/2006/relationships/hyperlink" Target="https://encode.ru/attachment.php?attachmentid=5122&amp;d=1503087121" TargetMode="External"/><Relationship Id="rId497" Type="http://schemas.openxmlformats.org/officeDocument/2006/relationships/hyperlink" Target="http://libbsc.com/" TargetMode="External"/><Relationship Id="rId357" Type="http://schemas.openxmlformats.org/officeDocument/2006/relationships/hyperlink" Target="http://www.winzip.com/" TargetMode="External"/><Relationship Id="rId1194" Type="http://schemas.openxmlformats.org/officeDocument/2006/relationships/hyperlink" Target="http://nishi.dreamhosters.com/u/rawfilt_v1g.rar" TargetMode="External"/><Relationship Id="rId217" Type="http://schemas.openxmlformats.org/officeDocument/2006/relationships/hyperlink" Target="http://encode.ru/attachment.php?attachmentid=1501&amp;d=1298990074" TargetMode="External"/><Relationship Id="rId564" Type="http://schemas.openxmlformats.org/officeDocument/2006/relationships/hyperlink" Target="http://encode.ru/attachment.php?attachmentid=2361&amp;d=1371506860" TargetMode="External"/><Relationship Id="rId771" Type="http://schemas.openxmlformats.org/officeDocument/2006/relationships/hyperlink" Target="https://github.com/google/brotli" TargetMode="External"/><Relationship Id="rId869" Type="http://schemas.openxmlformats.org/officeDocument/2006/relationships/hyperlink" Target="http://encode.ru/attachment.php?attachmentid=3211&amp;d=1414109843" TargetMode="External"/><Relationship Id="rId1499" Type="http://schemas.openxmlformats.org/officeDocument/2006/relationships/hyperlink" Target="http://heartofcomp.altervista.org/packet1.9.zip" TargetMode="External"/><Relationship Id="rId424" Type="http://schemas.openxmlformats.org/officeDocument/2006/relationships/hyperlink" Target="http://encode.ru/attachment.php?attachmentid=1501&amp;d=1298990074" TargetMode="External"/><Relationship Id="rId631" Type="http://schemas.openxmlformats.org/officeDocument/2006/relationships/hyperlink" Target="https://github.com/Cyan4973/zstd" TargetMode="External"/><Relationship Id="rId729" Type="http://schemas.openxmlformats.org/officeDocument/2006/relationships/hyperlink" Target="http://encode.ru/attachment.php?attachmentid=4536&amp;d=1468876571" TargetMode="External"/><Relationship Id="rId1054" Type="http://schemas.openxmlformats.org/officeDocument/2006/relationships/hyperlink" Target="http://heartofcomp.altervista.org/zcm093.zip" TargetMode="External"/><Relationship Id="rId1261" Type="http://schemas.openxmlformats.org/officeDocument/2006/relationships/hyperlink" Target="http://www.winace.com/" TargetMode="External"/><Relationship Id="rId1359" Type="http://schemas.openxmlformats.org/officeDocument/2006/relationships/hyperlink" Target="http://encode.ru/attachment.php?attachmentid=2361&amp;d=1371506860" TargetMode="External"/><Relationship Id="rId936" Type="http://schemas.openxmlformats.org/officeDocument/2006/relationships/hyperlink" Target="http://encode.ru/attachment.php?attachmentid=2361&amp;d=1371506860" TargetMode="External"/><Relationship Id="rId1121" Type="http://schemas.openxmlformats.org/officeDocument/2006/relationships/hyperlink" Target="http://ftp.sac.sk/sac/pack/wrar420.exe" TargetMode="External"/><Relationship Id="rId1219" Type="http://schemas.openxmlformats.org/officeDocument/2006/relationships/hyperlink" Target="http://nishi.dreamhosters.com/u/rawfilt_v1g.rar" TargetMode="External"/><Relationship Id="rId1566" Type="http://schemas.openxmlformats.org/officeDocument/2006/relationships/hyperlink" Target="https://encode.ru/attachment.php?attachmentid=5102&amp;d=1502725544" TargetMode="External"/><Relationship Id="rId1773" Type="http://schemas.openxmlformats.org/officeDocument/2006/relationships/hyperlink" Target="https://drive.google.com/drive/folders/0B_X1BeQ2TuWibTBmVG90S0k1bVE" TargetMode="External"/><Relationship Id="rId65" Type="http://schemas.openxmlformats.org/officeDocument/2006/relationships/hyperlink" Target="http://www.7-zip.org/" TargetMode="External"/><Relationship Id="rId1426" Type="http://schemas.openxmlformats.org/officeDocument/2006/relationships/hyperlink" Target="http://www.winzip.com/" TargetMode="External"/><Relationship Id="rId1633" Type="http://schemas.openxmlformats.org/officeDocument/2006/relationships/hyperlink" Target="https://encode.ru/attachment.php?attachmentid=5131&amp;d=1503168357" TargetMode="External"/><Relationship Id="rId1840" Type="http://schemas.openxmlformats.org/officeDocument/2006/relationships/hyperlink" Target="https://encode.ru/attachment.php?attachmentid=5284&amp;d=1504849543" TargetMode="External"/><Relationship Id="rId1700" Type="http://schemas.openxmlformats.org/officeDocument/2006/relationships/hyperlink" Target="https://encode.ru/attachment.php?attachmentid=5122&amp;d=1503087121" TargetMode="External"/><Relationship Id="rId281" Type="http://schemas.openxmlformats.org/officeDocument/2006/relationships/hyperlink" Target="http://www.emit.jp/dgca/dgca_e.html" TargetMode="External"/><Relationship Id="rId141" Type="http://schemas.openxmlformats.org/officeDocument/2006/relationships/hyperlink" Target="http://code.google.com/p/lzham/" TargetMode="External"/><Relationship Id="rId379" Type="http://schemas.openxmlformats.org/officeDocument/2006/relationships/hyperlink" Target="http://www.rarlabs.com/" TargetMode="External"/><Relationship Id="rId586" Type="http://schemas.openxmlformats.org/officeDocument/2006/relationships/hyperlink" Target="http://encode.ru/attachment.php?attachmentid=2361&amp;d=1371506860" TargetMode="External"/><Relationship Id="rId793" Type="http://schemas.openxmlformats.org/officeDocument/2006/relationships/hyperlink" Target="http://www.compression.ru/ds/" TargetMode="External"/><Relationship Id="rId7" Type="http://schemas.openxmlformats.org/officeDocument/2006/relationships/hyperlink" Target="http://openmpt.org/download" TargetMode="External"/><Relationship Id="rId239" Type="http://schemas.openxmlformats.org/officeDocument/2006/relationships/hyperlink" Target="http://www.7-zip.org/" TargetMode="External"/><Relationship Id="rId446" Type="http://schemas.openxmlformats.org/officeDocument/2006/relationships/hyperlink" Target="http://www.7-zip.org/" TargetMode="External"/><Relationship Id="rId653" Type="http://schemas.openxmlformats.org/officeDocument/2006/relationships/hyperlink" Target="https://github.com/hxim/paq8px" TargetMode="External"/><Relationship Id="rId1076" Type="http://schemas.openxmlformats.org/officeDocument/2006/relationships/hyperlink" Target="http://heartofcomp.altervista.org/zcm093.zip" TargetMode="External"/><Relationship Id="rId1283" Type="http://schemas.openxmlformats.org/officeDocument/2006/relationships/hyperlink" Target="http://schnaader.info/precomp.php" TargetMode="External"/><Relationship Id="rId1490" Type="http://schemas.openxmlformats.org/officeDocument/2006/relationships/hyperlink" Target="http://www.emit.jp/dgca/dgca_e.html" TargetMode="External"/><Relationship Id="rId306" Type="http://schemas.openxmlformats.org/officeDocument/2006/relationships/hyperlink" Target="http://encode.ru/attachment.php?attachmentid=1501&amp;d=1298990074" TargetMode="External"/><Relationship Id="rId860" Type="http://schemas.openxmlformats.org/officeDocument/2006/relationships/hyperlink" Target="https://github.com/Cyan4973/zstd" TargetMode="External"/><Relationship Id="rId958" Type="http://schemas.openxmlformats.org/officeDocument/2006/relationships/hyperlink" Target="https://github.com/Cyan4973/zstd" TargetMode="External"/><Relationship Id="rId1143" Type="http://schemas.openxmlformats.org/officeDocument/2006/relationships/hyperlink" Target="http://encode.ru/attachment.php?attachmentid=4154&amp;d=1457802709" TargetMode="External"/><Relationship Id="rId1588" Type="http://schemas.openxmlformats.org/officeDocument/2006/relationships/hyperlink" Target="https://encode.ru/attachment.php?attachmentid=5102&amp;d=1502725544" TargetMode="External"/><Relationship Id="rId1795" Type="http://schemas.openxmlformats.org/officeDocument/2006/relationships/hyperlink" Target="http://www.powerarchiver.com/" TargetMode="External"/><Relationship Id="rId87" Type="http://schemas.openxmlformats.org/officeDocument/2006/relationships/hyperlink" Target="http://www.emit.jp/dgca/dgca_e.html" TargetMode="External"/><Relationship Id="rId513" Type="http://schemas.openxmlformats.org/officeDocument/2006/relationships/hyperlink" Target="http://libbsc.com/" TargetMode="External"/><Relationship Id="rId720" Type="http://schemas.openxmlformats.org/officeDocument/2006/relationships/hyperlink" Target="http://encode.ru/attachment.php?attachmentid=4536&amp;d=1468876571" TargetMode="External"/><Relationship Id="rId818" Type="http://schemas.openxmlformats.org/officeDocument/2006/relationships/hyperlink" Target="http://www.rawzor.com/" TargetMode="External"/><Relationship Id="rId1350" Type="http://schemas.openxmlformats.org/officeDocument/2006/relationships/hyperlink" Target="http://www.7-zip.org/" TargetMode="External"/><Relationship Id="rId1448" Type="http://schemas.openxmlformats.org/officeDocument/2006/relationships/hyperlink" Target="http://encode.ru/attachment.php?attachmentid=4648&amp;d=1474214539" TargetMode="External"/><Relationship Id="rId1655" Type="http://schemas.openxmlformats.org/officeDocument/2006/relationships/hyperlink" Target="https://drive.google.com/open?id=0B_X1BeQ2TuWickxKMGVnQzFzTUE" TargetMode="External"/><Relationship Id="rId1003" Type="http://schemas.openxmlformats.org/officeDocument/2006/relationships/hyperlink" Target="http://www.winace.com/" TargetMode="External"/><Relationship Id="rId1210" Type="http://schemas.openxmlformats.org/officeDocument/2006/relationships/hyperlink" Target="http://nishi.dreamhosters.com/u/rawfilt_v1g.rar" TargetMode="External"/><Relationship Id="rId1308" Type="http://schemas.openxmlformats.org/officeDocument/2006/relationships/hyperlink" Target="http://encode.ru/attachment.php?attachmentid=3211&amp;d=1414109843" TargetMode="External"/><Relationship Id="rId1862" Type="http://schemas.openxmlformats.org/officeDocument/2006/relationships/hyperlink" Target="https://encode.ru/attachment.php?attachmentid=5284&amp;d=1504849543" TargetMode="External"/><Relationship Id="rId1515" Type="http://schemas.openxmlformats.org/officeDocument/2006/relationships/hyperlink" Target="http://www.rarlabs.com/" TargetMode="External"/><Relationship Id="rId1722" Type="http://schemas.openxmlformats.org/officeDocument/2006/relationships/hyperlink" Target="https://drive.google.com/drive/folders/0B_X1BeQ2TuWibTBmVG90S0k1bVE" TargetMode="External"/><Relationship Id="rId14" Type="http://schemas.openxmlformats.org/officeDocument/2006/relationships/hyperlink" Target="http://www.rarlabs.com/" TargetMode="External"/><Relationship Id="rId163" Type="http://schemas.openxmlformats.org/officeDocument/2006/relationships/hyperlink" Target="http://www.compression.ru/ds/" TargetMode="External"/><Relationship Id="rId370" Type="http://schemas.openxmlformats.org/officeDocument/2006/relationships/hyperlink" Target="http://www.rarlabs.com/" TargetMode="External"/><Relationship Id="rId230" Type="http://schemas.openxmlformats.org/officeDocument/2006/relationships/hyperlink" Target="http://encode.ru/attachment.php?attachmentid=3211&amp;d=1414109843" TargetMode="External"/><Relationship Id="rId468" Type="http://schemas.openxmlformats.org/officeDocument/2006/relationships/hyperlink" Target="http://freearc.org/" TargetMode="External"/><Relationship Id="rId675" Type="http://schemas.openxmlformats.org/officeDocument/2006/relationships/hyperlink" Target="https://github.com/hxim/paq8px" TargetMode="External"/><Relationship Id="rId882" Type="http://schemas.openxmlformats.org/officeDocument/2006/relationships/hyperlink" Target="ftp://ftp.sac.sk/pub/sac/pack/uharc06b.zip" TargetMode="External"/><Relationship Id="rId1098" Type="http://schemas.openxmlformats.org/officeDocument/2006/relationships/hyperlink" Target="http://ftp.sac.sk/sac/pack/wrar420.exe" TargetMode="External"/><Relationship Id="rId328" Type="http://schemas.openxmlformats.org/officeDocument/2006/relationships/hyperlink" Target="http://encode.ru/attachment.php?attachmentid=1946&amp;d=1336895016" TargetMode="External"/><Relationship Id="rId535" Type="http://schemas.openxmlformats.org/officeDocument/2006/relationships/hyperlink" Target="http://encode.ru/attachment.php?attachmentid=3211&amp;d=1414109843" TargetMode="External"/><Relationship Id="rId742" Type="http://schemas.openxmlformats.org/officeDocument/2006/relationships/hyperlink" Target="http://heartofcomp.altervista.org/packet1.9.zip" TargetMode="External"/><Relationship Id="rId1165" Type="http://schemas.openxmlformats.org/officeDocument/2006/relationships/hyperlink" Target="https://github.com/schnaader/precomp-cpp/releases/download/v0.4.5/precomp.zip" TargetMode="External"/><Relationship Id="rId1372" Type="http://schemas.openxmlformats.org/officeDocument/2006/relationships/hyperlink" Target="https://drive.google.com/file/d/0ByLIAFlgldSoWkU0OWxMNTBuYXM/view?usp=sharing" TargetMode="External"/><Relationship Id="rId602" Type="http://schemas.openxmlformats.org/officeDocument/2006/relationships/hyperlink" Target="https://drive.google.com/file/d/0ByLIAFlgldSoNWFHTmhSN080ZU0/view?usp=sharing" TargetMode="External"/><Relationship Id="rId1025" Type="http://schemas.openxmlformats.org/officeDocument/2006/relationships/hyperlink" Target="https://github.com/hxim/paq8px" TargetMode="External"/><Relationship Id="rId1232" Type="http://schemas.openxmlformats.org/officeDocument/2006/relationships/hyperlink" Target="http://encode.ru/attachment.php?attachmentid=4648&amp;d=1474214539" TargetMode="External"/><Relationship Id="rId1677" Type="http://schemas.openxmlformats.org/officeDocument/2006/relationships/hyperlink" Target="https://drive.google.com/drive/folders/0B_X1BeQ2TuWibTBmVG90S0k1bVE" TargetMode="External"/><Relationship Id="rId1884" Type="http://schemas.openxmlformats.org/officeDocument/2006/relationships/hyperlink" Target="https://encode.ru/attachment.php?attachmentid=5435&amp;d=1508621284" TargetMode="External"/><Relationship Id="rId907" Type="http://schemas.openxmlformats.org/officeDocument/2006/relationships/hyperlink" Target="http://www.winace.com/" TargetMode="External"/><Relationship Id="rId1537" Type="http://schemas.openxmlformats.org/officeDocument/2006/relationships/hyperlink" Target="http://encode.ru/attachment.php?attachmentid=4661&amp;d=1474958346" TargetMode="External"/><Relationship Id="rId1744" Type="http://schemas.openxmlformats.org/officeDocument/2006/relationships/hyperlink" Target="http://www.powerarchiver.com/" TargetMode="External"/><Relationship Id="rId36" Type="http://schemas.openxmlformats.org/officeDocument/2006/relationships/hyperlink" Target="http://encode.ru/attachment.php?attachmentid=1946&amp;d=1336895016" TargetMode="External"/><Relationship Id="rId1604" Type="http://schemas.openxmlformats.org/officeDocument/2006/relationships/hyperlink" Target="https://encode.ru/attachment.php?attachmentid=5102&amp;d=1502725544" TargetMode="External"/><Relationship Id="rId185" Type="http://schemas.openxmlformats.org/officeDocument/2006/relationships/hyperlink" Target="http://schnaader.info/precomp.php" TargetMode="External"/><Relationship Id="rId1811" Type="http://schemas.openxmlformats.org/officeDocument/2006/relationships/hyperlink" Target="https://encode.ru/attachment.php?attachmentid=5247&amp;d=1504524157" TargetMode="External"/><Relationship Id="rId1909" Type="http://schemas.openxmlformats.org/officeDocument/2006/relationships/hyperlink" Target="https://encode.ru/attachment.php?attachmentid=5435&amp;d=1508621284" TargetMode="External"/><Relationship Id="rId392" Type="http://schemas.openxmlformats.org/officeDocument/2006/relationships/hyperlink" Target="http://code.google.com/p/lzham/" TargetMode="External"/><Relationship Id="rId697" Type="http://schemas.openxmlformats.org/officeDocument/2006/relationships/hyperlink" Target="http://libbsc.com/" TargetMode="External"/><Relationship Id="rId252" Type="http://schemas.openxmlformats.org/officeDocument/2006/relationships/hyperlink" Target="http://www.nanozip.net/" TargetMode="External"/><Relationship Id="rId1187" Type="http://schemas.openxmlformats.org/officeDocument/2006/relationships/hyperlink" Target="https://github.com/schnaader/precomp-cpp/releases/download/v0.4.5/precomp.zip" TargetMode="External"/><Relationship Id="rId112" Type="http://schemas.openxmlformats.org/officeDocument/2006/relationships/hyperlink" Target="http://www.rarlabs.com/" TargetMode="External"/><Relationship Id="rId557" Type="http://schemas.openxmlformats.org/officeDocument/2006/relationships/hyperlink" Target="ftp://ftp.sac.sk/pub/sac/pack/uharc06b.zip" TargetMode="External"/><Relationship Id="rId764" Type="http://schemas.openxmlformats.org/officeDocument/2006/relationships/hyperlink" Target="http://heartofcomp.altervista.org/packet1.9.zip" TargetMode="External"/><Relationship Id="rId971" Type="http://schemas.openxmlformats.org/officeDocument/2006/relationships/hyperlink" Target="http://encode.ru/attachment.php?attachmentid=1946&amp;d=1336895016" TargetMode="External"/><Relationship Id="rId1394" Type="http://schemas.openxmlformats.org/officeDocument/2006/relationships/hyperlink" Target="http://www.rawzor.com/" TargetMode="External"/><Relationship Id="rId1699" Type="http://schemas.openxmlformats.org/officeDocument/2006/relationships/hyperlink" Target="http://www.powerarchiver.com/" TargetMode="External"/><Relationship Id="rId417" Type="http://schemas.openxmlformats.org/officeDocument/2006/relationships/hyperlink" Target="http://www.rarlabs.com/" TargetMode="External"/><Relationship Id="rId624" Type="http://schemas.openxmlformats.org/officeDocument/2006/relationships/hyperlink" Target="https://github.com/Cyan4973/zstd" TargetMode="External"/><Relationship Id="rId831" Type="http://schemas.openxmlformats.org/officeDocument/2006/relationships/hyperlink" Target="http://encode.ru/attachment.php?attachmentid=2361&amp;d=1371506860" TargetMode="External"/><Relationship Id="rId1047" Type="http://schemas.openxmlformats.org/officeDocument/2006/relationships/hyperlink" Target="http://rawzor.com/rawzor/" TargetMode="External"/><Relationship Id="rId1254" Type="http://schemas.openxmlformats.org/officeDocument/2006/relationships/hyperlink" Target="http://img.photographyblog.com/reviews/canon_eos_7d/sample_images/canon_eos_7d_05.cr2" TargetMode="External"/><Relationship Id="rId1461" Type="http://schemas.openxmlformats.org/officeDocument/2006/relationships/hyperlink" Target="http://www.rarlabs.com/" TargetMode="External"/><Relationship Id="rId929" Type="http://schemas.openxmlformats.org/officeDocument/2006/relationships/hyperlink" Target="ftp://ftp.sac.sk/pub/sac/pack/uharc06b.zip" TargetMode="External"/><Relationship Id="rId1114" Type="http://schemas.openxmlformats.org/officeDocument/2006/relationships/hyperlink" Target="http://ftp.sac.sk/sac/pack/wrar420.exe" TargetMode="External"/><Relationship Id="rId1321" Type="http://schemas.openxmlformats.org/officeDocument/2006/relationships/hyperlink" Target="ftp://ftp.sac.sk/pub/sac/pack/uharc06b.zip" TargetMode="External"/><Relationship Id="rId1559" Type="http://schemas.openxmlformats.org/officeDocument/2006/relationships/hyperlink" Target="http://www.compression.ru/ds/" TargetMode="External"/><Relationship Id="rId1766" Type="http://schemas.openxmlformats.org/officeDocument/2006/relationships/hyperlink" Target="https://encode.ru/attachment.php?attachmentid=5122&amp;d=1503087121" TargetMode="External"/><Relationship Id="rId58" Type="http://schemas.openxmlformats.org/officeDocument/2006/relationships/hyperlink" Target="http://www.nanozip.net/" TargetMode="External"/><Relationship Id="rId1419" Type="http://schemas.openxmlformats.org/officeDocument/2006/relationships/hyperlink" Target="http://nishi.dreamhosters.com/u/reflate_v0c1.rar" TargetMode="External"/><Relationship Id="rId1626" Type="http://schemas.openxmlformats.org/officeDocument/2006/relationships/hyperlink" Target="https://encode.ru/attachment.php?attachmentid=5131&amp;d=1503168357" TargetMode="External"/><Relationship Id="rId1833" Type="http://schemas.openxmlformats.org/officeDocument/2006/relationships/hyperlink" Target="https://encode.ru/attachment.php?attachmentid=5284&amp;d=1504849543" TargetMode="External"/><Relationship Id="rId1900" Type="http://schemas.openxmlformats.org/officeDocument/2006/relationships/hyperlink" Target="https://encode.ru/attachment.php?attachmentid=5435&amp;d=1508621284" TargetMode="External"/><Relationship Id="rId274" Type="http://schemas.openxmlformats.org/officeDocument/2006/relationships/hyperlink" Target="http://encode.ru/attachment.php?attachmentid=3211&amp;d=1414109843" TargetMode="External"/><Relationship Id="rId481" Type="http://schemas.openxmlformats.org/officeDocument/2006/relationships/hyperlink" Target="http://bzip.org/" TargetMode="External"/><Relationship Id="rId134" Type="http://schemas.openxmlformats.org/officeDocument/2006/relationships/hyperlink" Target="http://encode.ru/attachment.php?attachmentid=2361&amp;d=1371506860" TargetMode="External"/><Relationship Id="rId579" Type="http://schemas.openxmlformats.org/officeDocument/2006/relationships/hyperlink" Target="http://encode.ru/attachment.php?attachmentid=2361&amp;d=1371506860" TargetMode="External"/><Relationship Id="rId786" Type="http://schemas.openxmlformats.org/officeDocument/2006/relationships/hyperlink" Target="https://github.com/google/brotli" TargetMode="External"/><Relationship Id="rId993" Type="http://schemas.openxmlformats.org/officeDocument/2006/relationships/hyperlink" Target="https://github.com/google/brotli" TargetMode="External"/><Relationship Id="rId341" Type="http://schemas.openxmlformats.org/officeDocument/2006/relationships/hyperlink" Target="http://libbsc.com/" TargetMode="External"/><Relationship Id="rId439" Type="http://schemas.openxmlformats.org/officeDocument/2006/relationships/hyperlink" Target="http://sonimusicae.free.fr/Banques/SoniMusicae-Diato-sf2.zip" TargetMode="External"/><Relationship Id="rId646" Type="http://schemas.openxmlformats.org/officeDocument/2006/relationships/hyperlink" Target="https://github.com/Cyan4973/zstd" TargetMode="External"/><Relationship Id="rId1069" Type="http://schemas.openxmlformats.org/officeDocument/2006/relationships/hyperlink" Target="http://heartofcomp.altervista.org/zcm093.zip" TargetMode="External"/><Relationship Id="rId1276" Type="http://schemas.openxmlformats.org/officeDocument/2006/relationships/hyperlink" Target="https://drive.google.com/open?id=0B_X1BeQ2TuWiWVFVTnhMSFhiZHM" TargetMode="External"/><Relationship Id="rId1483" Type="http://schemas.openxmlformats.org/officeDocument/2006/relationships/hyperlink" Target="http://encode.ru/attachment.php?attachmentid=2361&amp;d=1371506860" TargetMode="External"/><Relationship Id="rId201" Type="http://schemas.openxmlformats.org/officeDocument/2006/relationships/hyperlink" Target="http://nishi.dreamhosters.com/u/reflate_v0c1.rar" TargetMode="External"/><Relationship Id="rId506" Type="http://schemas.openxmlformats.org/officeDocument/2006/relationships/hyperlink" Target="http://www.emit.jp/dgca/dgca_e.html" TargetMode="External"/><Relationship Id="rId853" Type="http://schemas.openxmlformats.org/officeDocument/2006/relationships/hyperlink" Target="http://www.winace.com/" TargetMode="External"/><Relationship Id="rId1136" Type="http://schemas.openxmlformats.org/officeDocument/2006/relationships/hyperlink" Target="http://encode.ru/attachment.php?attachmentid=4154&amp;d=1457802709" TargetMode="External"/><Relationship Id="rId1690" Type="http://schemas.openxmlformats.org/officeDocument/2006/relationships/hyperlink" Target="http://www.powerarchiver.com/" TargetMode="External"/><Relationship Id="rId1788" Type="http://schemas.openxmlformats.org/officeDocument/2006/relationships/hyperlink" Target="https://drive.google.com/drive/folders/0B_X1BeQ2TuWibTBmVG90S0k1bVE" TargetMode="External"/><Relationship Id="rId713" Type="http://schemas.openxmlformats.org/officeDocument/2006/relationships/hyperlink" Target="http://encode.ru/attachment.php?attachmentid=4536&amp;d=1468876571" TargetMode="External"/><Relationship Id="rId920" Type="http://schemas.openxmlformats.org/officeDocument/2006/relationships/hyperlink" Target="http://encode.ru/attachment.php?attachmentid=4536&amp;d=1468876571" TargetMode="External"/><Relationship Id="rId1343" Type="http://schemas.openxmlformats.org/officeDocument/2006/relationships/hyperlink" Target="http://schnaader.info/precomp.php" TargetMode="External"/><Relationship Id="rId1550" Type="http://schemas.openxmlformats.org/officeDocument/2006/relationships/hyperlink" Target="http://encode.ru/attachment.php?attachmentid=4661&amp;d=1474958346" TargetMode="External"/><Relationship Id="rId1648" Type="http://schemas.openxmlformats.org/officeDocument/2006/relationships/hyperlink" Target="https://encode.ru/attachment.php?attachmentid=5131&amp;d=1503168357" TargetMode="External"/><Relationship Id="rId1203" Type="http://schemas.openxmlformats.org/officeDocument/2006/relationships/hyperlink" Target="http://nishi.dreamhosters.com/u/rawfilt_v1g.rar" TargetMode="External"/><Relationship Id="rId1410" Type="http://schemas.openxmlformats.org/officeDocument/2006/relationships/hyperlink" Target="http://encode.ru/attachment.php?attachmentid=4536&amp;d=1468876571" TargetMode="External"/><Relationship Id="rId1508" Type="http://schemas.openxmlformats.org/officeDocument/2006/relationships/hyperlink" Target="http://www.rarlabs.com/" TargetMode="External"/><Relationship Id="rId1855" Type="http://schemas.openxmlformats.org/officeDocument/2006/relationships/hyperlink" Target="https://encode.ru/attachment.php?attachmentid=5284&amp;d=1504849543" TargetMode="External"/><Relationship Id="rId1715" Type="http://schemas.openxmlformats.org/officeDocument/2006/relationships/hyperlink" Target="https://encode.ru/attachment.php?attachmentid=5122&amp;d=1503087121" TargetMode="External"/><Relationship Id="rId296" Type="http://schemas.openxmlformats.org/officeDocument/2006/relationships/hyperlink" Target="http://www.compression.ru/ds/" TargetMode="External"/><Relationship Id="rId156" Type="http://schemas.openxmlformats.org/officeDocument/2006/relationships/hyperlink" Target="http://www.rarlabs.com/" TargetMode="External"/><Relationship Id="rId363" Type="http://schemas.openxmlformats.org/officeDocument/2006/relationships/hyperlink" Target="http://nishi.dreamhosters.com/u/reflate_v0c1.rar" TargetMode="External"/><Relationship Id="rId570" Type="http://schemas.openxmlformats.org/officeDocument/2006/relationships/hyperlink" Target="http://encode.ru/attachment.php?attachmentid=2361&amp;d=1371506860" TargetMode="External"/><Relationship Id="rId223" Type="http://schemas.openxmlformats.org/officeDocument/2006/relationships/hyperlink" Target="ftp://ftp.sac.sk/pub/sac/pack/uharc06b.zip" TargetMode="External"/><Relationship Id="rId430" Type="http://schemas.openxmlformats.org/officeDocument/2006/relationships/hyperlink" Target="http://www.winzip.com/" TargetMode="External"/><Relationship Id="rId668" Type="http://schemas.openxmlformats.org/officeDocument/2006/relationships/hyperlink" Target="https://github.com/hxim/paq8px" TargetMode="External"/><Relationship Id="rId875" Type="http://schemas.openxmlformats.org/officeDocument/2006/relationships/hyperlink" Target="http://encode.ru/attachment.php?attachmentid=2361&amp;d=1371506860" TargetMode="External"/><Relationship Id="rId1060" Type="http://schemas.openxmlformats.org/officeDocument/2006/relationships/hyperlink" Target="http://heartofcomp.altervista.org/zcm093.zip" TargetMode="External"/><Relationship Id="rId1298" Type="http://schemas.openxmlformats.org/officeDocument/2006/relationships/hyperlink" Target="http://encode.ru/attachment.php?attachmentid=4536&amp;d=1468876571" TargetMode="External"/><Relationship Id="rId528" Type="http://schemas.openxmlformats.org/officeDocument/2006/relationships/hyperlink" Target="http://www.nanozip.net/" TargetMode="External"/><Relationship Id="rId735" Type="http://schemas.openxmlformats.org/officeDocument/2006/relationships/hyperlink" Target="https://github.com/google/brotli" TargetMode="External"/><Relationship Id="rId942" Type="http://schemas.openxmlformats.org/officeDocument/2006/relationships/hyperlink" Target="https://github.com/Cyan4973/zstd" TargetMode="External"/><Relationship Id="rId1158" Type="http://schemas.openxmlformats.org/officeDocument/2006/relationships/hyperlink" Target="https://github.com/schnaader/precomp-cpp/releases/download/v0.4.5/precomp.zip" TargetMode="External"/><Relationship Id="rId1365" Type="http://schemas.openxmlformats.org/officeDocument/2006/relationships/hyperlink" Target="http://heartofcomp.altervista.org/zcm093.zip" TargetMode="External"/><Relationship Id="rId1572" Type="http://schemas.openxmlformats.org/officeDocument/2006/relationships/hyperlink" Target="https://encode.ru/attachment.php?attachmentid=5102&amp;d=1502725544" TargetMode="External"/><Relationship Id="rId1018" Type="http://schemas.openxmlformats.org/officeDocument/2006/relationships/hyperlink" Target="http://www.winace.com/" TargetMode="External"/><Relationship Id="rId1225" Type="http://schemas.openxmlformats.org/officeDocument/2006/relationships/hyperlink" Target="http://nishi.dreamhosters.com/u/rawfilt_v1g.rar" TargetMode="External"/><Relationship Id="rId1432" Type="http://schemas.openxmlformats.org/officeDocument/2006/relationships/hyperlink" Target="http://bzip.org/" TargetMode="External"/><Relationship Id="rId1877" Type="http://schemas.openxmlformats.org/officeDocument/2006/relationships/hyperlink" Target="https://encode.ru/attachment.php?attachmentid=5435&amp;d=1508621284" TargetMode="External"/><Relationship Id="rId71" Type="http://schemas.openxmlformats.org/officeDocument/2006/relationships/hyperlink" Target="http://www.winzip.com/" TargetMode="External"/><Relationship Id="rId802" Type="http://schemas.openxmlformats.org/officeDocument/2006/relationships/hyperlink" Target="http://www.winzip.com/" TargetMode="External"/><Relationship Id="rId1737" Type="http://schemas.openxmlformats.org/officeDocument/2006/relationships/hyperlink" Target="https://drive.google.com/drive/folders/0B_X1BeQ2TuWibTBmVG90S0k1bVE" TargetMode="External"/><Relationship Id="rId29" Type="http://schemas.openxmlformats.org/officeDocument/2006/relationships/hyperlink" Target="http://encode.ru/attachment.php?attachmentid=3211&amp;d=1414109843" TargetMode="External"/><Relationship Id="rId178" Type="http://schemas.openxmlformats.org/officeDocument/2006/relationships/hyperlink" Target="http://schnaader.info/precomp.php" TargetMode="External"/><Relationship Id="rId1804" Type="http://schemas.openxmlformats.org/officeDocument/2006/relationships/hyperlink" Target="http://www.powerarchiver.com/" TargetMode="External"/><Relationship Id="rId385" Type="http://schemas.openxmlformats.org/officeDocument/2006/relationships/hyperlink" Target="http://libbsc.com/" TargetMode="External"/><Relationship Id="rId592" Type="http://schemas.openxmlformats.org/officeDocument/2006/relationships/hyperlink" Target="https://drive.google.com/file/d/0ByLIAFlgldSobHJwWTY3d0w2cmc/view?usp=sharing" TargetMode="External"/><Relationship Id="rId245" Type="http://schemas.openxmlformats.org/officeDocument/2006/relationships/hyperlink" Target="http://libbsc.com/" TargetMode="External"/><Relationship Id="rId452" Type="http://schemas.openxmlformats.org/officeDocument/2006/relationships/hyperlink" Target="http://libbsc.com/" TargetMode="External"/><Relationship Id="rId897" Type="http://schemas.openxmlformats.org/officeDocument/2006/relationships/hyperlink" Target="http://www.emit.jp/dgca/dgca_e.html" TargetMode="External"/><Relationship Id="rId1082" Type="http://schemas.openxmlformats.org/officeDocument/2006/relationships/hyperlink" Target="http://heartofcomp.altervista.org/zcm093.zip" TargetMode="External"/><Relationship Id="rId105" Type="http://schemas.openxmlformats.org/officeDocument/2006/relationships/hyperlink" Target="http://encode.ru/attachment.php?attachmentid=1946&amp;d=1336895016" TargetMode="External"/><Relationship Id="rId312" Type="http://schemas.openxmlformats.org/officeDocument/2006/relationships/hyperlink" Target="ftp://ftp.sac.sk/pub/sac/pack/uharc06b.zip" TargetMode="External"/><Relationship Id="rId757" Type="http://schemas.openxmlformats.org/officeDocument/2006/relationships/hyperlink" Target="https://github.com/google/brotli" TargetMode="External"/><Relationship Id="rId964" Type="http://schemas.openxmlformats.org/officeDocument/2006/relationships/hyperlink" Target="https://github.com/Cyan4973/zstd" TargetMode="External"/><Relationship Id="rId1387" Type="http://schemas.openxmlformats.org/officeDocument/2006/relationships/hyperlink" Target="http://bzip.org/" TargetMode="External"/><Relationship Id="rId1594" Type="http://schemas.openxmlformats.org/officeDocument/2006/relationships/hyperlink" Target="https://encode.ru/attachment.php?attachmentid=5102&amp;d=1502725544" TargetMode="External"/><Relationship Id="rId93" Type="http://schemas.openxmlformats.org/officeDocument/2006/relationships/hyperlink" Target="http://libbsc.com/" TargetMode="External"/><Relationship Id="rId617" Type="http://schemas.openxmlformats.org/officeDocument/2006/relationships/hyperlink" Target="https://drive.google.com/file/d/0ByLIAFlgldSoMDdEVDVES1prbmM/view?usp=sharing" TargetMode="External"/><Relationship Id="rId824" Type="http://schemas.openxmlformats.org/officeDocument/2006/relationships/hyperlink" Target="ftp://ftp.sac.sk/pub/sac/pack/uharc06b.zip" TargetMode="External"/><Relationship Id="rId1247" Type="http://schemas.openxmlformats.org/officeDocument/2006/relationships/hyperlink" Target="http://rawzor.com/rawzor/" TargetMode="External"/><Relationship Id="rId1454" Type="http://schemas.openxmlformats.org/officeDocument/2006/relationships/hyperlink" Target="http://schnaader.info/precomp.php" TargetMode="External"/><Relationship Id="rId1661" Type="http://schemas.openxmlformats.org/officeDocument/2006/relationships/hyperlink" Target="https://drive.google.com/open?id=0B_X1BeQ2TuWickxKMGVnQzFzTUE" TargetMode="External"/><Relationship Id="rId1899" Type="http://schemas.openxmlformats.org/officeDocument/2006/relationships/hyperlink" Target="https://encode.ru/attachment.php?attachmentid=5435&amp;d=1508621284" TargetMode="External"/><Relationship Id="rId1107" Type="http://schemas.openxmlformats.org/officeDocument/2006/relationships/hyperlink" Target="http://ftp.sac.sk/sac/pack/wrar420.exe" TargetMode="External"/><Relationship Id="rId1314" Type="http://schemas.openxmlformats.org/officeDocument/2006/relationships/hyperlink" Target="http://encode.ru/attachment.php?attachmentid=2361&amp;d=1371506860" TargetMode="External"/><Relationship Id="rId1521" Type="http://schemas.openxmlformats.org/officeDocument/2006/relationships/hyperlink" Target="https://github.com/Cyan4973/zstd" TargetMode="External"/><Relationship Id="rId1759" Type="http://schemas.openxmlformats.org/officeDocument/2006/relationships/hyperlink" Target="http://www.powerarchiver.com/" TargetMode="External"/><Relationship Id="rId1619" Type="http://schemas.openxmlformats.org/officeDocument/2006/relationships/hyperlink" Target="https://encode.ru/attachment.php?attachmentid=5131&amp;d=1503168357" TargetMode="External"/><Relationship Id="rId1826" Type="http://schemas.openxmlformats.org/officeDocument/2006/relationships/hyperlink" Target="https://encode.ru/attachment.php?attachmentid=5284&amp;d=1504849543" TargetMode="External"/><Relationship Id="rId20" Type="http://schemas.openxmlformats.org/officeDocument/2006/relationships/hyperlink" Target="http://encode.ru/attachment.php?attachmentid=3211&amp;d=1414109843" TargetMode="External"/><Relationship Id="rId267" Type="http://schemas.openxmlformats.org/officeDocument/2006/relationships/hyperlink" Target="http://encode.ru/attachment.php?attachmentid=1946&amp;d=1336895016" TargetMode="External"/><Relationship Id="rId474" Type="http://schemas.openxmlformats.org/officeDocument/2006/relationships/hyperlink" Target="http://code.google.com/p/lzham/" TargetMode="External"/><Relationship Id="rId127" Type="http://schemas.openxmlformats.org/officeDocument/2006/relationships/hyperlink" Target="http://libbsc.com/" TargetMode="External"/><Relationship Id="rId681" Type="http://schemas.openxmlformats.org/officeDocument/2006/relationships/hyperlink" Target="http://encode.ru/attachment.php?attachmentid=1946&amp;d=1336895016" TargetMode="External"/><Relationship Id="rId779" Type="http://schemas.openxmlformats.org/officeDocument/2006/relationships/hyperlink" Target="http://heartofcomp.altervista.org/packet1.9.zip" TargetMode="External"/><Relationship Id="rId986" Type="http://schemas.openxmlformats.org/officeDocument/2006/relationships/hyperlink" Target="https://github.com/google/brotli" TargetMode="External"/><Relationship Id="rId334" Type="http://schemas.openxmlformats.org/officeDocument/2006/relationships/hyperlink" Target="http://code.google.com/p/lzham/" TargetMode="External"/><Relationship Id="rId541" Type="http://schemas.openxmlformats.org/officeDocument/2006/relationships/hyperlink" Target="http://www.winace.com/" TargetMode="External"/><Relationship Id="rId639" Type="http://schemas.openxmlformats.org/officeDocument/2006/relationships/hyperlink" Target="https://github.com/Cyan4973/zstd" TargetMode="External"/><Relationship Id="rId1171" Type="http://schemas.openxmlformats.org/officeDocument/2006/relationships/hyperlink" Target="https://github.com/schnaader/precomp-cpp/releases/download/v0.4.5/precomp.zip" TargetMode="External"/><Relationship Id="rId1269" Type="http://schemas.openxmlformats.org/officeDocument/2006/relationships/hyperlink" Target="http://heartofcomp.altervista.org/packet1.9.zip" TargetMode="External"/><Relationship Id="rId1476" Type="http://schemas.openxmlformats.org/officeDocument/2006/relationships/hyperlink" Target="http://encode.ru/attachment.php?attachmentid=4154&amp;d=1457802709" TargetMode="External"/><Relationship Id="rId401" Type="http://schemas.openxmlformats.org/officeDocument/2006/relationships/hyperlink" Target="http://schnaader.info/precomp.php" TargetMode="External"/><Relationship Id="rId846" Type="http://schemas.openxmlformats.org/officeDocument/2006/relationships/hyperlink" Target="http://www.rawzor.com/" TargetMode="External"/><Relationship Id="rId1031" Type="http://schemas.openxmlformats.org/officeDocument/2006/relationships/hyperlink" Target="http://nishi.dreamhosters.com/u/flifraw_v0.7z" TargetMode="External"/><Relationship Id="rId1129" Type="http://schemas.openxmlformats.org/officeDocument/2006/relationships/hyperlink" Target="http://encode.ru/attachment.php?attachmentid=4154&amp;d=1457802709" TargetMode="External"/><Relationship Id="rId1683" Type="http://schemas.openxmlformats.org/officeDocument/2006/relationships/hyperlink" Target="https://drive.google.com/drive/folders/0B_X1BeQ2TuWibTBmVG90S0k1bVE" TargetMode="External"/><Relationship Id="rId1890" Type="http://schemas.openxmlformats.org/officeDocument/2006/relationships/hyperlink" Target="https://encode.ru/attachment.php?attachmentid=5435&amp;d=1508621284" TargetMode="External"/><Relationship Id="rId706" Type="http://schemas.openxmlformats.org/officeDocument/2006/relationships/hyperlink" Target="http://encode.ru/attachment.php?attachmentid=4536&amp;d=1468876571" TargetMode="External"/><Relationship Id="rId913" Type="http://schemas.openxmlformats.org/officeDocument/2006/relationships/hyperlink" Target="https://drive.google.com/file/d/0ByLIAFlgldSobVdqTXlYeGxMcm8/view?usp=sharing" TargetMode="External"/><Relationship Id="rId1336" Type="http://schemas.openxmlformats.org/officeDocument/2006/relationships/hyperlink" Target="http://encode.ru/attachment.php?attachmentid=4154&amp;d=1457802709" TargetMode="External"/><Relationship Id="rId1543" Type="http://schemas.openxmlformats.org/officeDocument/2006/relationships/hyperlink" Target="http://encode.ru/attachment.php?attachmentid=4661&amp;d=1474958346" TargetMode="External"/><Relationship Id="rId1750" Type="http://schemas.openxmlformats.org/officeDocument/2006/relationships/hyperlink" Target="http://www.powerarchiver.com/" TargetMode="External"/><Relationship Id="rId42" Type="http://schemas.openxmlformats.org/officeDocument/2006/relationships/hyperlink" Target="http://nishi.dreamhosters.com/u/reflate_v0c1.rar" TargetMode="External"/><Relationship Id="rId1403" Type="http://schemas.openxmlformats.org/officeDocument/2006/relationships/hyperlink" Target="http://encode.ru/attachment.php?attachmentid=4648&amp;d=1474214539" TargetMode="External"/><Relationship Id="rId1610" Type="http://schemas.openxmlformats.org/officeDocument/2006/relationships/hyperlink" Target="https://encode.ru/attachment.php?attachmentid=5131&amp;d=1503168357" TargetMode="External"/><Relationship Id="rId1848" Type="http://schemas.openxmlformats.org/officeDocument/2006/relationships/hyperlink" Target="https://encode.ru/attachment.php?attachmentid=5284&amp;d=1504849543" TargetMode="External"/><Relationship Id="rId191" Type="http://schemas.openxmlformats.org/officeDocument/2006/relationships/hyperlink" Target="http://mattmahoney.net/dc/zpaq.html" TargetMode="External"/><Relationship Id="rId1708" Type="http://schemas.openxmlformats.org/officeDocument/2006/relationships/hyperlink" Target="http://www.powerarchiver.com/" TargetMode="External"/><Relationship Id="rId289" Type="http://schemas.openxmlformats.org/officeDocument/2006/relationships/hyperlink" Target="http://www.nanozip.net/" TargetMode="External"/><Relationship Id="rId496" Type="http://schemas.openxmlformats.org/officeDocument/2006/relationships/hyperlink" Target="http://libbsc.com/" TargetMode="External"/><Relationship Id="rId149" Type="http://schemas.openxmlformats.org/officeDocument/2006/relationships/hyperlink" Target="http://www.emit.jp/dgca/dgca_e.html" TargetMode="External"/><Relationship Id="rId356" Type="http://schemas.openxmlformats.org/officeDocument/2006/relationships/hyperlink" Target="http://www.7-zip.org/" TargetMode="External"/><Relationship Id="rId563" Type="http://schemas.openxmlformats.org/officeDocument/2006/relationships/hyperlink" Target="https://github.com/Diazonium/AntiZ" TargetMode="External"/><Relationship Id="rId770" Type="http://schemas.openxmlformats.org/officeDocument/2006/relationships/hyperlink" Target="http://heartofcomp.altervista.org/packet1.9.zip" TargetMode="External"/><Relationship Id="rId1193" Type="http://schemas.openxmlformats.org/officeDocument/2006/relationships/hyperlink" Target="http://nishi.dreamhosters.com/u/rawfilt_v1g.rar" TargetMode="External"/><Relationship Id="rId216" Type="http://schemas.openxmlformats.org/officeDocument/2006/relationships/hyperlink" Target="http://www.compression.ru/ds/" TargetMode="External"/><Relationship Id="rId423" Type="http://schemas.openxmlformats.org/officeDocument/2006/relationships/hyperlink" Target="http://www.nanozip.net/" TargetMode="External"/><Relationship Id="rId868" Type="http://schemas.openxmlformats.org/officeDocument/2006/relationships/hyperlink" Target="http://rawzor.com/rawzor/" TargetMode="External"/><Relationship Id="rId1053" Type="http://schemas.openxmlformats.org/officeDocument/2006/relationships/hyperlink" Target="http://heartofcomp.altervista.org/zcm093.zip" TargetMode="External"/><Relationship Id="rId1260" Type="http://schemas.openxmlformats.org/officeDocument/2006/relationships/hyperlink" Target="ftp://ftp.sac.sk/pub/sac/pack/uharc06b.zip" TargetMode="External"/><Relationship Id="rId1498" Type="http://schemas.openxmlformats.org/officeDocument/2006/relationships/hyperlink" Target="http://encode.ru/attachment.php?attachmentid=4536&amp;d=1468876571" TargetMode="External"/><Relationship Id="rId630" Type="http://schemas.openxmlformats.org/officeDocument/2006/relationships/hyperlink" Target="https://github.com/Cyan4973/zstd" TargetMode="External"/><Relationship Id="rId728" Type="http://schemas.openxmlformats.org/officeDocument/2006/relationships/hyperlink" Target="http://encode.ru/attachment.php?attachmentid=4536&amp;d=1468876571" TargetMode="External"/><Relationship Id="rId935" Type="http://schemas.openxmlformats.org/officeDocument/2006/relationships/hyperlink" Target="http://bzip.org/" TargetMode="External"/><Relationship Id="rId1358" Type="http://schemas.openxmlformats.org/officeDocument/2006/relationships/hyperlink" Target="http://bzip.org/" TargetMode="External"/><Relationship Id="rId1565" Type="http://schemas.openxmlformats.org/officeDocument/2006/relationships/hyperlink" Target="http://www.compression.ru/ds/" TargetMode="External"/><Relationship Id="rId1772" Type="http://schemas.openxmlformats.org/officeDocument/2006/relationships/hyperlink" Target="https://encode.ru/attachment.php?attachmentid=5122&amp;d=1503087121" TargetMode="External"/><Relationship Id="rId64" Type="http://schemas.openxmlformats.org/officeDocument/2006/relationships/hyperlink" Target="http://www.compression.ru/ds/" TargetMode="External"/><Relationship Id="rId1120" Type="http://schemas.openxmlformats.org/officeDocument/2006/relationships/hyperlink" Target="http://ftp.sac.sk/sac/pack/wrar420.exe" TargetMode="External"/><Relationship Id="rId1218" Type="http://schemas.openxmlformats.org/officeDocument/2006/relationships/hyperlink" Target="http://nishi.dreamhosters.com/u/rawfilt_v1g.rar" TargetMode="External"/><Relationship Id="rId1425" Type="http://schemas.openxmlformats.org/officeDocument/2006/relationships/hyperlink" Target="http://www.winzip.com/" TargetMode="External"/><Relationship Id="rId1632" Type="http://schemas.openxmlformats.org/officeDocument/2006/relationships/hyperlink" Target="https://encode.ru/attachment.php?attachmentid=5131&amp;d=1503168357" TargetMode="External"/><Relationship Id="rId280" Type="http://schemas.openxmlformats.org/officeDocument/2006/relationships/hyperlink" Target="http://freearc.org/" TargetMode="External"/><Relationship Id="rId140" Type="http://schemas.openxmlformats.org/officeDocument/2006/relationships/hyperlink" Target="http://www.nanozip.net/" TargetMode="External"/><Relationship Id="rId378" Type="http://schemas.openxmlformats.org/officeDocument/2006/relationships/hyperlink" Target="http://www.winzip.com/" TargetMode="External"/><Relationship Id="rId585" Type="http://schemas.openxmlformats.org/officeDocument/2006/relationships/hyperlink" Target="http://encode.ru/attachment.php?attachmentid=2361&amp;d=1371506860" TargetMode="External"/><Relationship Id="rId792" Type="http://schemas.openxmlformats.org/officeDocument/2006/relationships/hyperlink" Target="http://nishi.dreamhosters.com/u/reflate_v0c1.rar" TargetMode="External"/><Relationship Id="rId6" Type="http://schemas.openxmlformats.org/officeDocument/2006/relationships/hyperlink" Target="http://psycle.pastnotecut.org/portal.php" TargetMode="External"/><Relationship Id="rId238" Type="http://schemas.openxmlformats.org/officeDocument/2006/relationships/hyperlink" Target="http://www.compression.ru/ds/" TargetMode="External"/><Relationship Id="rId445" Type="http://schemas.openxmlformats.org/officeDocument/2006/relationships/hyperlink" Target="http://www.compression.ru/ds/" TargetMode="External"/><Relationship Id="rId652" Type="http://schemas.openxmlformats.org/officeDocument/2006/relationships/hyperlink" Target="https://github.com/hxim/paq8px" TargetMode="External"/><Relationship Id="rId1075" Type="http://schemas.openxmlformats.org/officeDocument/2006/relationships/hyperlink" Target="http://heartofcomp.altervista.org/zcm093.zip" TargetMode="External"/><Relationship Id="rId1282" Type="http://schemas.openxmlformats.org/officeDocument/2006/relationships/hyperlink" Target="http://nishi.dreamhosters.com/u/reflate_v0c1.rar" TargetMode="External"/><Relationship Id="rId305" Type="http://schemas.openxmlformats.org/officeDocument/2006/relationships/hyperlink" Target="http://bzip.org/" TargetMode="External"/><Relationship Id="rId512" Type="http://schemas.openxmlformats.org/officeDocument/2006/relationships/hyperlink" Target="http://www.7-zip.org/" TargetMode="External"/><Relationship Id="rId957" Type="http://schemas.openxmlformats.org/officeDocument/2006/relationships/hyperlink" Target="https://github.com/Cyan4973/zstd" TargetMode="External"/><Relationship Id="rId1142" Type="http://schemas.openxmlformats.org/officeDocument/2006/relationships/hyperlink" Target="http://encode.ru/attachment.php?attachmentid=4154&amp;d=1457802709" TargetMode="External"/><Relationship Id="rId1587" Type="http://schemas.openxmlformats.org/officeDocument/2006/relationships/hyperlink" Target="https://encode.ru/attachment.php?attachmentid=5102&amp;d=1502725544" TargetMode="External"/><Relationship Id="rId1794" Type="http://schemas.openxmlformats.org/officeDocument/2006/relationships/hyperlink" Target="https://drive.google.com/drive/folders/0B_X1BeQ2TuWibTBmVG90S0k1bVE" TargetMode="External"/><Relationship Id="rId86" Type="http://schemas.openxmlformats.org/officeDocument/2006/relationships/hyperlink" Target="http://www.emit.jp/dgca/dgca_e.html" TargetMode="External"/><Relationship Id="rId817" Type="http://schemas.openxmlformats.org/officeDocument/2006/relationships/hyperlink" Target="http://www.compression.ru/ds/" TargetMode="External"/><Relationship Id="rId1002" Type="http://schemas.openxmlformats.org/officeDocument/2006/relationships/hyperlink" Target="https://github.com/google/brotli" TargetMode="External"/><Relationship Id="rId1447" Type="http://schemas.openxmlformats.org/officeDocument/2006/relationships/hyperlink" Target="http://nishi.dreamhosters.com/u/rawfilt_v1g.rar" TargetMode="External"/><Relationship Id="rId1654" Type="http://schemas.openxmlformats.org/officeDocument/2006/relationships/hyperlink" Target="https://drive.google.com/open?id=0B_X1BeQ2TuWickxKMGVnQzFzTUE" TargetMode="External"/><Relationship Id="rId1861" Type="http://schemas.openxmlformats.org/officeDocument/2006/relationships/hyperlink" Target="https://encode.ru/attachment.php?attachmentid=5284&amp;d=1504849543" TargetMode="External"/><Relationship Id="rId1307" Type="http://schemas.openxmlformats.org/officeDocument/2006/relationships/hyperlink" Target="https://drive.google.com/open?id=0B_X1BeQ2TuWiWVFVTnhMSFhiZHM" TargetMode="External"/><Relationship Id="rId1514" Type="http://schemas.openxmlformats.org/officeDocument/2006/relationships/hyperlink" Target="http://www.rarlabs.com/" TargetMode="External"/><Relationship Id="rId1721" Type="http://schemas.openxmlformats.org/officeDocument/2006/relationships/hyperlink" Target="https://encode.ru/attachment.php?attachmentid=5122&amp;d=1503087121" TargetMode="External"/><Relationship Id="rId13" Type="http://schemas.openxmlformats.org/officeDocument/2006/relationships/hyperlink" Target="http://www.rarlabs.com/" TargetMode="External"/><Relationship Id="rId1819" Type="http://schemas.openxmlformats.org/officeDocument/2006/relationships/hyperlink" Target="https://encode.ru/attachment.php?attachmentid=5284&amp;d=1504849543" TargetMode="External"/><Relationship Id="rId162" Type="http://schemas.openxmlformats.org/officeDocument/2006/relationships/hyperlink" Target="http://code.google.com/p/lzham/" TargetMode="External"/><Relationship Id="rId467" Type="http://schemas.openxmlformats.org/officeDocument/2006/relationships/hyperlink" Target="http://www.winzip.com/" TargetMode="External"/><Relationship Id="rId1097" Type="http://schemas.openxmlformats.org/officeDocument/2006/relationships/hyperlink" Target="http://ftp.sac.sk/sac/pack/wrar420.exe" TargetMode="External"/><Relationship Id="rId674" Type="http://schemas.openxmlformats.org/officeDocument/2006/relationships/hyperlink" Target="https://github.com/hxim/paq8px" TargetMode="External"/><Relationship Id="rId881" Type="http://schemas.openxmlformats.org/officeDocument/2006/relationships/hyperlink" Target="http://www.winzip.com/" TargetMode="External"/><Relationship Id="rId979" Type="http://schemas.openxmlformats.org/officeDocument/2006/relationships/hyperlink" Target="http://heartofcomp.altervista.org/packet1.9.zip" TargetMode="External"/><Relationship Id="rId327" Type="http://schemas.openxmlformats.org/officeDocument/2006/relationships/hyperlink" Target="http://www.rarlabs.com/" TargetMode="External"/><Relationship Id="rId534" Type="http://schemas.openxmlformats.org/officeDocument/2006/relationships/hyperlink" Target="http://encode.ru/attachment.php?attachmentid=2361&amp;d=1371506860" TargetMode="External"/><Relationship Id="rId741" Type="http://schemas.openxmlformats.org/officeDocument/2006/relationships/hyperlink" Target="https://github.com/google/brotli" TargetMode="External"/><Relationship Id="rId839" Type="http://schemas.openxmlformats.org/officeDocument/2006/relationships/hyperlink" Target="http://encode.ru/attachment.php?attachmentid=4536&amp;d=1468876571" TargetMode="External"/><Relationship Id="rId1164" Type="http://schemas.openxmlformats.org/officeDocument/2006/relationships/hyperlink" Target="https://github.com/schnaader/precomp-cpp/releases/download/v0.4.5/precomp.zip" TargetMode="External"/><Relationship Id="rId1371" Type="http://schemas.openxmlformats.org/officeDocument/2006/relationships/hyperlink" Target="https://drive.google.com/open?id=0B_X1BeQ2TuWiWVFVTnhMSFhiZHM" TargetMode="External"/><Relationship Id="rId1469" Type="http://schemas.openxmlformats.org/officeDocument/2006/relationships/hyperlink" Target="http://libbsc.com/" TargetMode="External"/><Relationship Id="rId601" Type="http://schemas.openxmlformats.org/officeDocument/2006/relationships/hyperlink" Target="https://drive.google.com/file/d/0ByLIAFlgldSoYTk1NUw5M2lya1k/view?usp=sharing" TargetMode="External"/><Relationship Id="rId1024" Type="http://schemas.openxmlformats.org/officeDocument/2006/relationships/hyperlink" Target="https://github.com/Cyan4973/zstd" TargetMode="External"/><Relationship Id="rId1231" Type="http://schemas.openxmlformats.org/officeDocument/2006/relationships/hyperlink" Target="http://encode.ru/attachment.php?attachmentid=4648&amp;d=1474214539" TargetMode="External"/><Relationship Id="rId1676" Type="http://schemas.openxmlformats.org/officeDocument/2006/relationships/hyperlink" Target="https://encode.ru/attachment.php?attachmentid=5122&amp;d=1503087121" TargetMode="External"/><Relationship Id="rId1883" Type="http://schemas.openxmlformats.org/officeDocument/2006/relationships/hyperlink" Target="https://encode.ru/attachment.php?attachmentid=5435&amp;d=1508621284" TargetMode="External"/><Relationship Id="rId906" Type="http://schemas.openxmlformats.org/officeDocument/2006/relationships/hyperlink" Target="ftp://ftp.sac.sk/pub/sac/pack/uharc06b.zip" TargetMode="External"/><Relationship Id="rId1329" Type="http://schemas.openxmlformats.org/officeDocument/2006/relationships/hyperlink" Target="https://github.com/Cyan4973/zstd" TargetMode="External"/><Relationship Id="rId1536" Type="http://schemas.openxmlformats.org/officeDocument/2006/relationships/hyperlink" Target="http://encode.ru/attachment.php?attachmentid=4661&amp;d=1474958346" TargetMode="External"/><Relationship Id="rId1743" Type="http://schemas.openxmlformats.org/officeDocument/2006/relationships/hyperlink" Target="https://drive.google.com/drive/folders/0B_X1BeQ2TuWibTBmVG90S0k1bVE" TargetMode="External"/><Relationship Id="rId35" Type="http://schemas.openxmlformats.org/officeDocument/2006/relationships/hyperlink" Target="http://encode.ru/attachment.php?attachmentid=1946&amp;d=1336895016" TargetMode="External"/><Relationship Id="rId1603" Type="http://schemas.openxmlformats.org/officeDocument/2006/relationships/hyperlink" Target="https://encode.ru/attachment.php?attachmentid=5102&amp;d=1502725544" TargetMode="External"/><Relationship Id="rId1810" Type="http://schemas.openxmlformats.org/officeDocument/2006/relationships/hyperlink" Target="https://encode.ru/attachment.php?attachmentid=5247&amp;d=1504524157" TargetMode="External"/><Relationship Id="rId184" Type="http://schemas.openxmlformats.org/officeDocument/2006/relationships/hyperlink" Target="http://encode.ru/attachment.php?attachmentid=1946&amp;d=1336895016" TargetMode="External"/><Relationship Id="rId391" Type="http://schemas.openxmlformats.org/officeDocument/2006/relationships/hyperlink" Target="http://schnaader.info/precomp.php" TargetMode="External"/><Relationship Id="rId1908" Type="http://schemas.openxmlformats.org/officeDocument/2006/relationships/hyperlink" Target="https://encode.ru/attachment.php?attachmentid=5435&amp;d=1508621284" TargetMode="External"/><Relationship Id="rId251" Type="http://schemas.openxmlformats.org/officeDocument/2006/relationships/hyperlink" Target="http://encode.ru/attachment.php?attachmentid=1946&amp;d=1336895016" TargetMode="External"/><Relationship Id="rId489" Type="http://schemas.openxmlformats.org/officeDocument/2006/relationships/hyperlink" Target="http://libbsc.com/" TargetMode="External"/><Relationship Id="rId696" Type="http://schemas.openxmlformats.org/officeDocument/2006/relationships/hyperlink" Target="http://libbsc.com/" TargetMode="External"/><Relationship Id="rId349" Type="http://schemas.openxmlformats.org/officeDocument/2006/relationships/hyperlink" Target="http://openmpt.org/download" TargetMode="External"/><Relationship Id="rId556" Type="http://schemas.openxmlformats.org/officeDocument/2006/relationships/hyperlink" Target="http://www.winzip.com/" TargetMode="External"/><Relationship Id="rId763" Type="http://schemas.openxmlformats.org/officeDocument/2006/relationships/hyperlink" Target="https://github.com/google/brotli" TargetMode="External"/><Relationship Id="rId1186" Type="http://schemas.openxmlformats.org/officeDocument/2006/relationships/hyperlink" Target="https://github.com/schnaader/precomp-cpp/releases/download/v0.4.5/precomp.zip" TargetMode="External"/><Relationship Id="rId1393" Type="http://schemas.openxmlformats.org/officeDocument/2006/relationships/hyperlink" Target="http://encode.ru/attachment.php?attachmentid=1946&amp;d=1336895016" TargetMode="External"/><Relationship Id="rId111" Type="http://schemas.openxmlformats.org/officeDocument/2006/relationships/hyperlink" Target="http://encode.ru/attachment.php?attachmentid=1501&amp;d=1298990074" TargetMode="External"/><Relationship Id="rId209" Type="http://schemas.openxmlformats.org/officeDocument/2006/relationships/hyperlink" Target="http://www.emit.jp/dgca/dgca_e.html" TargetMode="External"/><Relationship Id="rId416" Type="http://schemas.openxmlformats.org/officeDocument/2006/relationships/hyperlink" Target="ftp://ftp.sac.sk/pub/sac/pack/uharc06b.zip" TargetMode="External"/><Relationship Id="rId970" Type="http://schemas.openxmlformats.org/officeDocument/2006/relationships/hyperlink" Target="https://github.com/Cyan4973/zstd" TargetMode="External"/><Relationship Id="rId1046" Type="http://schemas.openxmlformats.org/officeDocument/2006/relationships/hyperlink" Target="http://www.7-zip.org/" TargetMode="External"/><Relationship Id="rId1253" Type="http://schemas.openxmlformats.org/officeDocument/2006/relationships/hyperlink" Target="http://www.nanozip.net/" TargetMode="External"/><Relationship Id="rId1698" Type="http://schemas.openxmlformats.org/officeDocument/2006/relationships/hyperlink" Target="https://drive.google.com/drive/folders/0B_X1BeQ2TuWibTBmVG90S0k1bVE" TargetMode="External"/><Relationship Id="rId623" Type="http://schemas.openxmlformats.org/officeDocument/2006/relationships/hyperlink" Target="https://github.com/Cyan4973/zstd" TargetMode="External"/><Relationship Id="rId830" Type="http://schemas.openxmlformats.org/officeDocument/2006/relationships/hyperlink" Target="http://bzip.org/" TargetMode="External"/><Relationship Id="rId928" Type="http://schemas.openxmlformats.org/officeDocument/2006/relationships/hyperlink" Target="http://www.winzip.com/" TargetMode="External"/><Relationship Id="rId1460" Type="http://schemas.openxmlformats.org/officeDocument/2006/relationships/hyperlink" Target="http://heartofcomp.altervista.org/packet1.9.zip" TargetMode="External"/><Relationship Id="rId1558" Type="http://schemas.openxmlformats.org/officeDocument/2006/relationships/hyperlink" Target="http://www.compression.ru/ds/" TargetMode="External"/><Relationship Id="rId1765" Type="http://schemas.openxmlformats.org/officeDocument/2006/relationships/hyperlink" Target="http://www.powerarchiver.com/" TargetMode="External"/><Relationship Id="rId57" Type="http://schemas.openxmlformats.org/officeDocument/2006/relationships/hyperlink" Target="http://www.nanozip.net/" TargetMode="External"/><Relationship Id="rId1113" Type="http://schemas.openxmlformats.org/officeDocument/2006/relationships/hyperlink" Target="http://ftp.sac.sk/sac/pack/wrar420.exe" TargetMode="External"/><Relationship Id="rId1320" Type="http://schemas.openxmlformats.org/officeDocument/2006/relationships/hyperlink" Target="http://www.winzip.com/" TargetMode="External"/><Relationship Id="rId1418" Type="http://schemas.openxmlformats.org/officeDocument/2006/relationships/hyperlink" Target="https://drive.google.com/open?id=0B_X1BeQ2TuWiWVFVTnhMSFhiZHM" TargetMode="External"/><Relationship Id="rId1625" Type="http://schemas.openxmlformats.org/officeDocument/2006/relationships/hyperlink" Target="https://encode.ru/attachment.php?attachmentid=5131&amp;d=1503168357" TargetMode="External"/><Relationship Id="rId1832" Type="http://schemas.openxmlformats.org/officeDocument/2006/relationships/hyperlink" Target="https://encode.ru/attachment.php?attachmentid=5284&amp;d=1504849543" TargetMode="External"/><Relationship Id="rId273" Type="http://schemas.openxmlformats.org/officeDocument/2006/relationships/hyperlink" Target="http://encode.ru/attachment.php?attachmentid=3211&amp;d=1414109843" TargetMode="External"/><Relationship Id="rId480" Type="http://schemas.openxmlformats.org/officeDocument/2006/relationships/hyperlink" Target="http://libbsc.com/" TargetMode="External"/><Relationship Id="rId133" Type="http://schemas.openxmlformats.org/officeDocument/2006/relationships/hyperlink" Target="http://encode.ru/attachment.php?attachmentid=1501&amp;d=1298990074" TargetMode="External"/><Relationship Id="rId340" Type="http://schemas.openxmlformats.org/officeDocument/2006/relationships/hyperlink" Target="http://libbsc.com/" TargetMode="External"/><Relationship Id="rId578" Type="http://schemas.openxmlformats.org/officeDocument/2006/relationships/hyperlink" Target="http://encode.ru/attachment.php?attachmentid=2361&amp;d=1371506860" TargetMode="External"/><Relationship Id="rId785" Type="http://schemas.openxmlformats.org/officeDocument/2006/relationships/hyperlink" Target="http://heartofcomp.altervista.org/packet1.9.zip" TargetMode="External"/><Relationship Id="rId992" Type="http://schemas.openxmlformats.org/officeDocument/2006/relationships/hyperlink" Target="https://github.com/google/brotli" TargetMode="External"/><Relationship Id="rId200" Type="http://schemas.openxmlformats.org/officeDocument/2006/relationships/hyperlink" Target="http://www.rarlabs.com/" TargetMode="External"/><Relationship Id="rId438" Type="http://schemas.openxmlformats.org/officeDocument/2006/relationships/hyperlink" Target="http://encode.ru/attachment.php?attachmentid=2361&amp;d=1371506860" TargetMode="External"/><Relationship Id="rId645" Type="http://schemas.openxmlformats.org/officeDocument/2006/relationships/hyperlink" Target="https://github.com/Cyan4973/zstd" TargetMode="External"/><Relationship Id="rId852" Type="http://schemas.openxmlformats.org/officeDocument/2006/relationships/hyperlink" Target="ftp://ftp.sac.sk/pub/sac/pack/uharc06b.zip" TargetMode="External"/><Relationship Id="rId1068" Type="http://schemas.openxmlformats.org/officeDocument/2006/relationships/hyperlink" Target="http://heartofcomp.altervista.org/zcm093.zip" TargetMode="External"/><Relationship Id="rId1275" Type="http://schemas.openxmlformats.org/officeDocument/2006/relationships/hyperlink" Target="http://encode.ru/attachment.php?attachmentid=4648&amp;d=1474214539" TargetMode="External"/><Relationship Id="rId1482" Type="http://schemas.openxmlformats.org/officeDocument/2006/relationships/hyperlink" Target="http://www.rawzor.com/" TargetMode="External"/><Relationship Id="rId505" Type="http://schemas.openxmlformats.org/officeDocument/2006/relationships/hyperlink" Target="ftp://ftp.sac.sk/pub/sac/pack/uharc06b.zip" TargetMode="External"/><Relationship Id="rId712" Type="http://schemas.openxmlformats.org/officeDocument/2006/relationships/hyperlink" Target="http://encode.ru/attachment.php?attachmentid=4536&amp;d=1468876571" TargetMode="External"/><Relationship Id="rId1135" Type="http://schemas.openxmlformats.org/officeDocument/2006/relationships/hyperlink" Target="http://encode.ru/attachment.php?attachmentid=4154&amp;d=1457802709" TargetMode="External"/><Relationship Id="rId1342" Type="http://schemas.openxmlformats.org/officeDocument/2006/relationships/hyperlink" Target="http://encode.ru/attachment.php?attachmentid=1946&amp;d=1336895016" TargetMode="External"/><Relationship Id="rId1787" Type="http://schemas.openxmlformats.org/officeDocument/2006/relationships/hyperlink" Target="https://encode.ru/attachment.php?attachmentid=5122&amp;d=1503087121" TargetMode="External"/><Relationship Id="rId79" Type="http://schemas.openxmlformats.org/officeDocument/2006/relationships/hyperlink" Target="http://www.winace.com/" TargetMode="External"/><Relationship Id="rId1202" Type="http://schemas.openxmlformats.org/officeDocument/2006/relationships/hyperlink" Target="http://nishi.dreamhosters.com/u/rawfilt_v1g.rar" TargetMode="External"/><Relationship Id="rId1647" Type="http://schemas.openxmlformats.org/officeDocument/2006/relationships/hyperlink" Target="https://encode.ru/attachment.php?attachmentid=5131&amp;d=1503168357" TargetMode="External"/><Relationship Id="rId1854" Type="http://schemas.openxmlformats.org/officeDocument/2006/relationships/hyperlink" Target="https://encode.ru/attachment.php?attachmentid=5284&amp;d=1504849543" TargetMode="External"/><Relationship Id="rId1507" Type="http://schemas.openxmlformats.org/officeDocument/2006/relationships/hyperlink" Target="http://www.rarlabs.com/" TargetMode="External"/><Relationship Id="rId1714" Type="http://schemas.openxmlformats.org/officeDocument/2006/relationships/hyperlink" Target="http://www.powerarchiver.com/" TargetMode="External"/><Relationship Id="rId295" Type="http://schemas.openxmlformats.org/officeDocument/2006/relationships/hyperlink" Target="http://code.google.com/p/lzham/" TargetMode="External"/><Relationship Id="rId155" Type="http://schemas.openxmlformats.org/officeDocument/2006/relationships/hyperlink" Target="http://encode.ru/attachment.php?attachmentid=1501&amp;d=1298990074" TargetMode="External"/><Relationship Id="rId362" Type="http://schemas.openxmlformats.org/officeDocument/2006/relationships/hyperlink" Target="http://bzip.org/" TargetMode="External"/><Relationship Id="rId1297" Type="http://schemas.openxmlformats.org/officeDocument/2006/relationships/hyperlink" Target="https://drive.google.com/file/d/0ByLIAFlgldSodVZXdEVvQlZMVGc/view?usp=sharing" TargetMode="External"/><Relationship Id="rId222" Type="http://schemas.openxmlformats.org/officeDocument/2006/relationships/hyperlink" Target="http://www.winzip.com/" TargetMode="External"/><Relationship Id="rId667" Type="http://schemas.openxmlformats.org/officeDocument/2006/relationships/hyperlink" Target="https://github.com/hxim/paq8px" TargetMode="External"/><Relationship Id="rId874" Type="http://schemas.openxmlformats.org/officeDocument/2006/relationships/hyperlink" Target="http://img.photographyblog.com/reviews/nikon_d3x/sample_images/nikon_d3x_08.nef" TargetMode="External"/><Relationship Id="rId527" Type="http://schemas.openxmlformats.org/officeDocument/2006/relationships/hyperlink" Target="http://wiki.xiph.org/Rehuff" TargetMode="External"/><Relationship Id="rId734" Type="http://schemas.openxmlformats.org/officeDocument/2006/relationships/hyperlink" Target="http://heartofcomp.altervista.org/packet1.9.zip" TargetMode="External"/><Relationship Id="rId941" Type="http://schemas.openxmlformats.org/officeDocument/2006/relationships/hyperlink" Target="https://github.com/schnaader/precomp-cpp" TargetMode="External"/><Relationship Id="rId1157" Type="http://schemas.openxmlformats.org/officeDocument/2006/relationships/hyperlink" Target="https://github.com/schnaader/precomp-cpp/releases/download/v0.4.5/precomp.zip" TargetMode="External"/><Relationship Id="rId1364" Type="http://schemas.openxmlformats.org/officeDocument/2006/relationships/hyperlink" Target="http://rawzor.com/rawzor/" TargetMode="External"/><Relationship Id="rId1571" Type="http://schemas.openxmlformats.org/officeDocument/2006/relationships/hyperlink" Target="https://encode.ru/attachment.php?attachmentid=5102&amp;d=1502725544" TargetMode="External"/><Relationship Id="rId70" Type="http://schemas.openxmlformats.org/officeDocument/2006/relationships/hyperlink" Target="http://www.winzip.com/" TargetMode="External"/><Relationship Id="rId801" Type="http://schemas.openxmlformats.org/officeDocument/2006/relationships/hyperlink" Target="http://www.winzip.com/" TargetMode="External"/><Relationship Id="rId1017" Type="http://schemas.openxmlformats.org/officeDocument/2006/relationships/hyperlink" Target="http://www.rarlabs.com/" TargetMode="External"/><Relationship Id="rId1224" Type="http://schemas.openxmlformats.org/officeDocument/2006/relationships/hyperlink" Target="http://nishi.dreamhosters.com/u/rawfilt_v1g.rar" TargetMode="External"/><Relationship Id="rId1431" Type="http://schemas.openxmlformats.org/officeDocument/2006/relationships/hyperlink" Target="http://libbsc.com/" TargetMode="External"/><Relationship Id="rId1669" Type="http://schemas.openxmlformats.org/officeDocument/2006/relationships/hyperlink" Target="http://www.powerarchiver.com/" TargetMode="External"/><Relationship Id="rId1876" Type="http://schemas.openxmlformats.org/officeDocument/2006/relationships/hyperlink" Target="https://encode.ru/attachment.php?attachmentid=5435&amp;d=1508621284" TargetMode="External"/><Relationship Id="rId1529" Type="http://schemas.openxmlformats.org/officeDocument/2006/relationships/hyperlink" Target="https://github.com/Cyan4973/zstd" TargetMode="External"/><Relationship Id="rId1736" Type="http://schemas.openxmlformats.org/officeDocument/2006/relationships/hyperlink" Target="https://encode.ru/attachment.php?attachmentid=5122&amp;d=1503087121" TargetMode="External"/><Relationship Id="rId28" Type="http://schemas.openxmlformats.org/officeDocument/2006/relationships/hyperlink" Target="http://encode.ru/attachment.php?attachmentid=3211&amp;d=1414109843" TargetMode="External"/><Relationship Id="rId1803" Type="http://schemas.openxmlformats.org/officeDocument/2006/relationships/hyperlink" Target="https://drive.google.com/drive/folders/0B_X1BeQ2TuWibTBmVG90S0k1bVE" TargetMode="External"/><Relationship Id="rId177" Type="http://schemas.openxmlformats.org/officeDocument/2006/relationships/hyperlink" Target="http://nishi.dreamhosters.com/u/reflate_v0c1.rar" TargetMode="External"/><Relationship Id="rId384" Type="http://schemas.openxmlformats.org/officeDocument/2006/relationships/hyperlink" Target="ftp://ftp.sac.sk/pub/sac/pack/uharc06b.zip" TargetMode="External"/><Relationship Id="rId591" Type="http://schemas.openxmlformats.org/officeDocument/2006/relationships/hyperlink" Target="http://encode.ru/attachment.php?attachmentid=2361&amp;d=1371506860" TargetMode="External"/><Relationship Id="rId244" Type="http://schemas.openxmlformats.org/officeDocument/2006/relationships/hyperlink" Target="http://www.emit.jp/dgca/dgca_e.html" TargetMode="External"/><Relationship Id="rId689" Type="http://schemas.openxmlformats.org/officeDocument/2006/relationships/hyperlink" Target="http://www.compression.ru/ds/" TargetMode="External"/><Relationship Id="rId896" Type="http://schemas.openxmlformats.org/officeDocument/2006/relationships/hyperlink" Target="http://www.nanozip.net/" TargetMode="External"/><Relationship Id="rId1081" Type="http://schemas.openxmlformats.org/officeDocument/2006/relationships/hyperlink" Target="http://heartofcomp.altervista.org/zcm093.zip" TargetMode="External"/><Relationship Id="rId451" Type="http://schemas.openxmlformats.org/officeDocument/2006/relationships/hyperlink" Target="http://www.emit.jp/dgca/dgca_e.html" TargetMode="External"/><Relationship Id="rId549" Type="http://schemas.openxmlformats.org/officeDocument/2006/relationships/hyperlink" Target="http://www.7-zip.org/" TargetMode="External"/><Relationship Id="rId756" Type="http://schemas.openxmlformats.org/officeDocument/2006/relationships/hyperlink" Target="http://heartofcomp.altervista.org/packet1.9.zip" TargetMode="External"/><Relationship Id="rId1179" Type="http://schemas.openxmlformats.org/officeDocument/2006/relationships/hyperlink" Target="https://github.com/schnaader/precomp-cpp/releases/download/v0.4.5/precomp.zip" TargetMode="External"/><Relationship Id="rId1386" Type="http://schemas.openxmlformats.org/officeDocument/2006/relationships/hyperlink" Target="http://libbsc.com/" TargetMode="External"/><Relationship Id="rId1593" Type="http://schemas.openxmlformats.org/officeDocument/2006/relationships/hyperlink" Target="https://encode.ru/attachment.php?attachmentid=5102&amp;d=1502725544" TargetMode="External"/><Relationship Id="rId104" Type="http://schemas.openxmlformats.org/officeDocument/2006/relationships/hyperlink" Target="http://encode.ru/attachment.php?attachmentid=3211&amp;d=1414109843" TargetMode="External"/><Relationship Id="rId311" Type="http://schemas.openxmlformats.org/officeDocument/2006/relationships/hyperlink" Target="http://www.winzip.com/" TargetMode="External"/><Relationship Id="rId409" Type="http://schemas.openxmlformats.org/officeDocument/2006/relationships/hyperlink" Target="http://www.winzip.com/" TargetMode="External"/><Relationship Id="rId963" Type="http://schemas.openxmlformats.org/officeDocument/2006/relationships/hyperlink" Target="https://github.com/Cyan4973/zstd" TargetMode="External"/><Relationship Id="rId1039" Type="http://schemas.openxmlformats.org/officeDocument/2006/relationships/hyperlink" Target="http://www.winzip.com/" TargetMode="External"/><Relationship Id="rId1246" Type="http://schemas.openxmlformats.org/officeDocument/2006/relationships/hyperlink" Target="https://drive.google.com/open?id=0B_X1BeQ2TuWiWVFVTnhMSFhiZHM" TargetMode="External"/><Relationship Id="rId1898" Type="http://schemas.openxmlformats.org/officeDocument/2006/relationships/hyperlink" Target="https://encode.ru/attachment.php?attachmentid=5435&amp;d=1508621284" TargetMode="External"/><Relationship Id="rId92" Type="http://schemas.openxmlformats.org/officeDocument/2006/relationships/hyperlink" Target="http://libbsc.com/" TargetMode="External"/><Relationship Id="rId616" Type="http://schemas.openxmlformats.org/officeDocument/2006/relationships/hyperlink" Target="https://drive.google.com/file/d/0ByLIAFlgldSodFRkajM4ZlA2ZTA/view?usp=sharing" TargetMode="External"/><Relationship Id="rId823" Type="http://schemas.openxmlformats.org/officeDocument/2006/relationships/hyperlink" Target="http://www.winzip.com/" TargetMode="External"/><Relationship Id="rId1453" Type="http://schemas.openxmlformats.org/officeDocument/2006/relationships/hyperlink" Target="https://github.com/schnaader/precomp-cpp/releases/download/v0.4.5/precomp.zip" TargetMode="External"/><Relationship Id="rId1660" Type="http://schemas.openxmlformats.org/officeDocument/2006/relationships/hyperlink" Target="https://drive.google.com/open?id=0B_X1BeQ2TuWickxKMGVnQzFzTUE" TargetMode="External"/><Relationship Id="rId1758" Type="http://schemas.openxmlformats.org/officeDocument/2006/relationships/hyperlink" Target="https://drive.google.com/drive/folders/0B_X1BeQ2TuWibTBmVG90S0k1bVE" TargetMode="External"/><Relationship Id="rId1106" Type="http://schemas.openxmlformats.org/officeDocument/2006/relationships/hyperlink" Target="http://ftp.sac.sk/sac/pack/wrar420.exe" TargetMode="External"/><Relationship Id="rId1313" Type="http://schemas.openxmlformats.org/officeDocument/2006/relationships/hyperlink" Target="http://img.photographyblog.com/reviews/nikon_d3x/sample_images/nikon_d3x_08.nef" TargetMode="External"/><Relationship Id="rId1520" Type="http://schemas.openxmlformats.org/officeDocument/2006/relationships/hyperlink" Target="https://github.com/Cyan4973/zstd" TargetMode="External"/><Relationship Id="rId1618" Type="http://schemas.openxmlformats.org/officeDocument/2006/relationships/hyperlink" Target="https://encode.ru/attachment.php?attachmentid=5131&amp;d=1503168357" TargetMode="External"/><Relationship Id="rId1825" Type="http://schemas.openxmlformats.org/officeDocument/2006/relationships/hyperlink" Target="https://encode.ru/attachment.php?attachmentid=5284&amp;d=1504849543" TargetMode="External"/><Relationship Id="rId199" Type="http://schemas.openxmlformats.org/officeDocument/2006/relationships/hyperlink" Target="http://heartofcomp.altervista.org/zcm092.zip" TargetMode="External"/><Relationship Id="rId266" Type="http://schemas.openxmlformats.org/officeDocument/2006/relationships/hyperlink" Target="http://bzip.org/" TargetMode="External"/><Relationship Id="rId473" Type="http://schemas.openxmlformats.org/officeDocument/2006/relationships/hyperlink" Target="http://encode.ru/attachment.php?attachmentid=1946&amp;d=1336895016" TargetMode="External"/><Relationship Id="rId680" Type="http://schemas.openxmlformats.org/officeDocument/2006/relationships/hyperlink" Target="https://github.com/hxim/paq8px" TargetMode="External"/><Relationship Id="rId126" Type="http://schemas.openxmlformats.org/officeDocument/2006/relationships/hyperlink" Target="http://libbsc.com/" TargetMode="External"/><Relationship Id="rId333" Type="http://schemas.openxmlformats.org/officeDocument/2006/relationships/hyperlink" Target="http://nishi.dreamhosters.com/u/reflate_v0c1.rar" TargetMode="External"/><Relationship Id="rId540" Type="http://schemas.openxmlformats.org/officeDocument/2006/relationships/hyperlink" Target="http://www.rarlabs.com/" TargetMode="External"/><Relationship Id="rId778" Type="http://schemas.openxmlformats.org/officeDocument/2006/relationships/hyperlink" Target="https://github.com/google/brotli" TargetMode="External"/><Relationship Id="rId985" Type="http://schemas.openxmlformats.org/officeDocument/2006/relationships/hyperlink" Target="http://heartofcomp.altervista.org/packet1.9.zip" TargetMode="External"/><Relationship Id="rId1170" Type="http://schemas.openxmlformats.org/officeDocument/2006/relationships/hyperlink" Target="https://github.com/schnaader/precomp-cpp/releases/download/v0.4.5/precomp.zip" TargetMode="External"/><Relationship Id="rId638" Type="http://schemas.openxmlformats.org/officeDocument/2006/relationships/hyperlink" Target="https://github.com/Cyan4973/zstd" TargetMode="External"/><Relationship Id="rId845" Type="http://schemas.openxmlformats.org/officeDocument/2006/relationships/hyperlink" Target="http://www.compression.ru/ds/" TargetMode="External"/><Relationship Id="rId1030" Type="http://schemas.openxmlformats.org/officeDocument/2006/relationships/hyperlink" Target="http://nishi.dreamhosters.com/u/7z-arw_v0.7z" TargetMode="External"/><Relationship Id="rId1268" Type="http://schemas.openxmlformats.org/officeDocument/2006/relationships/hyperlink" Target="http://encode.ru/attachment.php?attachmentid=4536&amp;d=1468876571" TargetMode="External"/><Relationship Id="rId1475" Type="http://schemas.openxmlformats.org/officeDocument/2006/relationships/hyperlink" Target="https://github.com/schnaader/precomp-cpp/tree/master/contrib/packmp3" TargetMode="External"/><Relationship Id="rId1682" Type="http://schemas.openxmlformats.org/officeDocument/2006/relationships/hyperlink" Target="https://encode.ru/attachment.php?attachmentid=5122&amp;d=1503087121" TargetMode="External"/><Relationship Id="rId400" Type="http://schemas.openxmlformats.org/officeDocument/2006/relationships/hyperlink" Target="http://encode.ru/attachment.php?attachmentid=3211&amp;d=1414109843" TargetMode="External"/><Relationship Id="rId705" Type="http://schemas.openxmlformats.org/officeDocument/2006/relationships/hyperlink" Target="http://encode.ru/attachment.php?attachmentid=4536&amp;d=1468876571" TargetMode="External"/><Relationship Id="rId1128" Type="http://schemas.openxmlformats.org/officeDocument/2006/relationships/hyperlink" Target="http://encode.ru/attachment.php?attachmentid=4154&amp;d=1457802709" TargetMode="External"/><Relationship Id="rId1335" Type="http://schemas.openxmlformats.org/officeDocument/2006/relationships/hyperlink" Target="http://ftp.sac.sk/sac/pack/wrar420.exe" TargetMode="External"/><Relationship Id="rId1542" Type="http://schemas.openxmlformats.org/officeDocument/2006/relationships/hyperlink" Target="http://encode.ru/attachment.php?attachmentid=4661&amp;d=1474958346" TargetMode="External"/><Relationship Id="rId912" Type="http://schemas.openxmlformats.org/officeDocument/2006/relationships/hyperlink" Target="http://encode.ru/attachment.php?attachmentid=2361&amp;d=1371506860" TargetMode="External"/><Relationship Id="rId1847" Type="http://schemas.openxmlformats.org/officeDocument/2006/relationships/hyperlink" Target="https://encode.ru/attachment.php?attachmentid=5284&amp;d=1504849543" TargetMode="External"/><Relationship Id="rId41" Type="http://schemas.openxmlformats.org/officeDocument/2006/relationships/hyperlink" Target="http://nishi.dreamhosters.com/u/reflate_v0c1.rar" TargetMode="External"/><Relationship Id="rId1402" Type="http://schemas.openxmlformats.org/officeDocument/2006/relationships/hyperlink" Target="http://nishi.dreamhosters.com/u/rawfilt_v1g.rar" TargetMode="External"/><Relationship Id="rId1707" Type="http://schemas.openxmlformats.org/officeDocument/2006/relationships/hyperlink" Target="https://drive.google.com/drive/folders/0B_X1BeQ2TuWibTBmVG90S0k1bVE" TargetMode="External"/><Relationship Id="rId190" Type="http://schemas.openxmlformats.org/officeDocument/2006/relationships/hyperlink" Target="http://encode.ru/attachment.php?attachmentid=2361&amp;d=1371506860" TargetMode="External"/><Relationship Id="rId288" Type="http://schemas.openxmlformats.org/officeDocument/2006/relationships/hyperlink" Target="http://encode.ru/attachment.php?attachmentid=1946&amp;d=1336895016" TargetMode="External"/><Relationship Id="rId495" Type="http://schemas.openxmlformats.org/officeDocument/2006/relationships/hyperlink" Target="http://www.rarlabs.com/" TargetMode="External"/><Relationship Id="rId148" Type="http://schemas.openxmlformats.org/officeDocument/2006/relationships/hyperlink" Target="http://freearc.org/" TargetMode="External"/><Relationship Id="rId355" Type="http://schemas.openxmlformats.org/officeDocument/2006/relationships/hyperlink" Target="http://www.compression.ru/ds/" TargetMode="External"/><Relationship Id="rId562" Type="http://schemas.openxmlformats.org/officeDocument/2006/relationships/hyperlink" Target="https://github.com/Diazonium/AntiZ" TargetMode="External"/><Relationship Id="rId1192" Type="http://schemas.openxmlformats.org/officeDocument/2006/relationships/hyperlink" Target="http://nishi.dreamhosters.com/u/rawfilt_v1g.rar" TargetMode="External"/><Relationship Id="rId215" Type="http://schemas.openxmlformats.org/officeDocument/2006/relationships/hyperlink" Target="http://www.nanozip.net/" TargetMode="External"/><Relationship Id="rId422" Type="http://schemas.openxmlformats.org/officeDocument/2006/relationships/hyperlink" Target="http://encode.ru/attachment.php?attachmentid=1946&amp;d=1336895016" TargetMode="External"/><Relationship Id="rId867" Type="http://schemas.openxmlformats.org/officeDocument/2006/relationships/hyperlink" Target="http://heartofcomp.altervista.org/packet1.9.zip" TargetMode="External"/><Relationship Id="rId1052" Type="http://schemas.openxmlformats.org/officeDocument/2006/relationships/hyperlink" Target="http://heartofcomp.altervista.org/zcm093.zip" TargetMode="External"/><Relationship Id="rId1497" Type="http://schemas.openxmlformats.org/officeDocument/2006/relationships/hyperlink" Target="http://encode.ru/attachment.php?attachmentid=3211&amp;d=1414109843" TargetMode="External"/><Relationship Id="rId727" Type="http://schemas.openxmlformats.org/officeDocument/2006/relationships/hyperlink" Target="http://encode.ru/attachment.php?attachmentid=4536&amp;d=1468876571" TargetMode="External"/><Relationship Id="rId934" Type="http://schemas.openxmlformats.org/officeDocument/2006/relationships/hyperlink" Target="http://libbsc.com/" TargetMode="External"/><Relationship Id="rId1357" Type="http://schemas.openxmlformats.org/officeDocument/2006/relationships/hyperlink" Target="http://libbsc.com/" TargetMode="External"/><Relationship Id="rId1564" Type="http://schemas.openxmlformats.org/officeDocument/2006/relationships/hyperlink" Target="http://www.compression.ru/ds/" TargetMode="External"/><Relationship Id="rId1771" Type="http://schemas.openxmlformats.org/officeDocument/2006/relationships/hyperlink" Target="http://www.powerarchiver.com/" TargetMode="External"/><Relationship Id="rId63" Type="http://schemas.openxmlformats.org/officeDocument/2006/relationships/hyperlink" Target="http://www.compression.ru/ds/" TargetMode="External"/><Relationship Id="rId1217" Type="http://schemas.openxmlformats.org/officeDocument/2006/relationships/hyperlink" Target="http://nishi.dreamhosters.com/u/rawfilt_v1g.rar" TargetMode="External"/><Relationship Id="rId1424" Type="http://schemas.openxmlformats.org/officeDocument/2006/relationships/hyperlink" Target="http://www.7-zip.org/" TargetMode="External"/><Relationship Id="rId1631" Type="http://schemas.openxmlformats.org/officeDocument/2006/relationships/hyperlink" Target="https://encode.ru/attachment.php?attachmentid=5131&amp;d=1503168357" TargetMode="External"/><Relationship Id="rId1869" Type="http://schemas.openxmlformats.org/officeDocument/2006/relationships/hyperlink" Target="https://encode.ru/attachment.php?attachmentid=5435&amp;d=1508621284" TargetMode="External"/><Relationship Id="rId1729" Type="http://schemas.openxmlformats.org/officeDocument/2006/relationships/hyperlink" Target="http://www.powerarchiver.com/" TargetMode="External"/><Relationship Id="rId377" Type="http://schemas.openxmlformats.org/officeDocument/2006/relationships/hyperlink" Target="http://www.winzip.com/" TargetMode="External"/><Relationship Id="rId584" Type="http://schemas.openxmlformats.org/officeDocument/2006/relationships/hyperlink" Target="http://encode.ru/attachment.php?attachmentid=2361&amp;d=1371506860" TargetMode="External"/><Relationship Id="rId5" Type="http://schemas.openxmlformats.org/officeDocument/2006/relationships/hyperlink" Target="http://www.renoise.com/" TargetMode="External"/><Relationship Id="rId237" Type="http://schemas.openxmlformats.org/officeDocument/2006/relationships/hyperlink" Target="http://code.google.com/p/lzham/" TargetMode="External"/><Relationship Id="rId791" Type="http://schemas.openxmlformats.org/officeDocument/2006/relationships/hyperlink" Target="http://www.7-zip.org/" TargetMode="External"/><Relationship Id="rId889" Type="http://schemas.openxmlformats.org/officeDocument/2006/relationships/hyperlink" Target="https://drive.google.com/file/d/0ByLIAFlgldSoc0F3U2R4YkUtZTQ/view?usp=sharing" TargetMode="External"/><Relationship Id="rId1074" Type="http://schemas.openxmlformats.org/officeDocument/2006/relationships/hyperlink" Target="http://heartofcomp.altervista.org/zcm093.zip" TargetMode="External"/><Relationship Id="rId444" Type="http://schemas.openxmlformats.org/officeDocument/2006/relationships/hyperlink" Target="http://www.nanozip.net/" TargetMode="External"/><Relationship Id="rId651" Type="http://schemas.openxmlformats.org/officeDocument/2006/relationships/hyperlink" Target="https://github.com/hxim/paq8px" TargetMode="External"/><Relationship Id="rId749" Type="http://schemas.openxmlformats.org/officeDocument/2006/relationships/hyperlink" Target="https://github.com/google/brotli" TargetMode="External"/><Relationship Id="rId1281" Type="http://schemas.openxmlformats.org/officeDocument/2006/relationships/hyperlink" Target="http://encode.ru/attachment.php?attachmentid=1501&amp;d=1298990074" TargetMode="External"/><Relationship Id="rId1379" Type="http://schemas.openxmlformats.org/officeDocument/2006/relationships/hyperlink" Target="http://www.7-zip.org/" TargetMode="External"/><Relationship Id="rId1586" Type="http://schemas.openxmlformats.org/officeDocument/2006/relationships/hyperlink" Target="https://encode.ru/attachment.php?attachmentid=5102&amp;d=1502725544" TargetMode="External"/><Relationship Id="rId304" Type="http://schemas.openxmlformats.org/officeDocument/2006/relationships/hyperlink" Target="http://libbsc.com/" TargetMode="External"/><Relationship Id="rId511" Type="http://schemas.openxmlformats.org/officeDocument/2006/relationships/hyperlink" Target="http://schnaader.info/precomp.php" TargetMode="External"/><Relationship Id="rId609" Type="http://schemas.openxmlformats.org/officeDocument/2006/relationships/hyperlink" Target="https://drive.google.com/file/d/0ByLIAFlgldSoc0pDb0dpcWRIdlk/view?usp=sharing" TargetMode="External"/><Relationship Id="rId956" Type="http://schemas.openxmlformats.org/officeDocument/2006/relationships/hyperlink" Target="https://github.com/Cyan4973/zstd" TargetMode="External"/><Relationship Id="rId1141" Type="http://schemas.openxmlformats.org/officeDocument/2006/relationships/hyperlink" Target="http://encode.ru/attachment.php?attachmentid=4154&amp;d=1457802709" TargetMode="External"/><Relationship Id="rId1239" Type="http://schemas.openxmlformats.org/officeDocument/2006/relationships/hyperlink" Target="https://drive.google.com/open?id=0B_X1BeQ2TuWiWVFVTnhMSFhiZHM" TargetMode="External"/><Relationship Id="rId1793" Type="http://schemas.openxmlformats.org/officeDocument/2006/relationships/hyperlink" Target="https://encode.ru/attachment.php?attachmentid=5122&amp;d=1503087121" TargetMode="External"/><Relationship Id="rId85" Type="http://schemas.openxmlformats.org/officeDocument/2006/relationships/hyperlink" Target="http://www.emit.jp/dgca/dgca_e.html" TargetMode="External"/><Relationship Id="rId816" Type="http://schemas.openxmlformats.org/officeDocument/2006/relationships/hyperlink" Target="http://nishi.dreamhosters.com/u/reflate_v0c1.rar" TargetMode="External"/><Relationship Id="rId1001" Type="http://schemas.openxmlformats.org/officeDocument/2006/relationships/hyperlink" Target="http://heartofcomp.altervista.org/packet1.9.zip" TargetMode="External"/><Relationship Id="rId1446" Type="http://schemas.openxmlformats.org/officeDocument/2006/relationships/hyperlink" Target="https://github.com/schnaader/precomp-cpp/releases/download/v0.4.5/precomp.zip" TargetMode="External"/><Relationship Id="rId1653" Type="http://schemas.openxmlformats.org/officeDocument/2006/relationships/hyperlink" Target="https://drive.google.com/open?id=0B_X1BeQ2TuWickxKMGVnQzFzTUE" TargetMode="External"/><Relationship Id="rId1860" Type="http://schemas.openxmlformats.org/officeDocument/2006/relationships/hyperlink" Target="https://encode.ru/attachment.php?attachmentid=5284&amp;d=1504849543" TargetMode="External"/><Relationship Id="rId1306" Type="http://schemas.openxmlformats.org/officeDocument/2006/relationships/hyperlink" Target="http://encode.ru/attachment.php?attachmentid=4648&amp;d=1474214539" TargetMode="External"/><Relationship Id="rId1513" Type="http://schemas.openxmlformats.org/officeDocument/2006/relationships/hyperlink" Target="http://www.rarlabs.com/" TargetMode="External"/><Relationship Id="rId1720" Type="http://schemas.openxmlformats.org/officeDocument/2006/relationships/hyperlink" Target="http://www.powerarchiver.com/" TargetMode="External"/><Relationship Id="rId12" Type="http://schemas.openxmlformats.org/officeDocument/2006/relationships/hyperlink" Target="http://encode.ru/attachment.php?attachmentid=1501&amp;d=1298990074" TargetMode="External"/><Relationship Id="rId1818" Type="http://schemas.openxmlformats.org/officeDocument/2006/relationships/hyperlink" Target="https://encode.ru/attachment.php?attachmentid=5284&amp;d=1504849543" TargetMode="External"/><Relationship Id="rId161" Type="http://schemas.openxmlformats.org/officeDocument/2006/relationships/hyperlink" Target="http://www.nanozip.net/" TargetMode="External"/><Relationship Id="rId399" Type="http://schemas.openxmlformats.org/officeDocument/2006/relationships/hyperlink" Target="http://libbsc.com/" TargetMode="External"/><Relationship Id="rId259" Type="http://schemas.openxmlformats.org/officeDocument/2006/relationships/hyperlink" Target="http://www.winzip.com/" TargetMode="External"/><Relationship Id="rId466" Type="http://schemas.openxmlformats.org/officeDocument/2006/relationships/hyperlink" Target="http://www.7-zip.org/" TargetMode="External"/><Relationship Id="rId673" Type="http://schemas.openxmlformats.org/officeDocument/2006/relationships/hyperlink" Target="https://github.com/hxim/paq8px" TargetMode="External"/><Relationship Id="rId880" Type="http://schemas.openxmlformats.org/officeDocument/2006/relationships/hyperlink" Target="http://www.winzip.com/" TargetMode="External"/><Relationship Id="rId1096" Type="http://schemas.openxmlformats.org/officeDocument/2006/relationships/hyperlink" Target="http://ftp.sac.sk/sac/pack/wrar420.exe" TargetMode="External"/><Relationship Id="rId119" Type="http://schemas.openxmlformats.org/officeDocument/2006/relationships/hyperlink" Target="http://www.compression.ru/ds/" TargetMode="External"/><Relationship Id="rId326" Type="http://schemas.openxmlformats.org/officeDocument/2006/relationships/hyperlink" Target="http://encode.ru/attachment.php?attachmentid=2361&amp;d=1371506860" TargetMode="External"/><Relationship Id="rId533" Type="http://schemas.openxmlformats.org/officeDocument/2006/relationships/hyperlink" Target="http://encode.ru/attachment.php?attachmentid=3211&amp;d=1414109843" TargetMode="External"/><Relationship Id="rId978" Type="http://schemas.openxmlformats.org/officeDocument/2006/relationships/hyperlink" Target="https://github.com/google/brotli" TargetMode="External"/><Relationship Id="rId1163" Type="http://schemas.openxmlformats.org/officeDocument/2006/relationships/hyperlink" Target="https://github.com/schnaader/precomp-cpp/releases/download/v0.4.5/precomp.zip" TargetMode="External"/><Relationship Id="rId1370" Type="http://schemas.openxmlformats.org/officeDocument/2006/relationships/hyperlink" Target="http://encode.ru/attachment.php?attachmentid=4648&amp;d=1474214539" TargetMode="External"/><Relationship Id="rId740" Type="http://schemas.openxmlformats.org/officeDocument/2006/relationships/hyperlink" Target="http://heartofcomp.altervista.org/packet1.9.zip" TargetMode="External"/><Relationship Id="rId838" Type="http://schemas.openxmlformats.org/officeDocument/2006/relationships/hyperlink" Target="http://encode.ru/attachment.php?attachmentid=3211&amp;d=1414109843" TargetMode="External"/><Relationship Id="rId1023" Type="http://schemas.openxmlformats.org/officeDocument/2006/relationships/hyperlink" Target="http://encode.ru/attachment.php?attachmentid=2361&amp;d=1371506860" TargetMode="External"/><Relationship Id="rId1468" Type="http://schemas.openxmlformats.org/officeDocument/2006/relationships/hyperlink" Target="http://freearc.org/" TargetMode="External"/><Relationship Id="rId1675" Type="http://schemas.openxmlformats.org/officeDocument/2006/relationships/hyperlink" Target="http://www.powerarchiver.com/" TargetMode="External"/><Relationship Id="rId1882" Type="http://schemas.openxmlformats.org/officeDocument/2006/relationships/hyperlink" Target="https://encode.ru/attachment.php?attachmentid=5435&amp;d=1508621284" TargetMode="External"/><Relationship Id="rId600" Type="http://schemas.openxmlformats.org/officeDocument/2006/relationships/hyperlink" Target="https://drive.google.com/file/d/0ByLIAFlgldSoVHYyNEY4VEMzdHM/view?usp=sharing" TargetMode="External"/><Relationship Id="rId1230" Type="http://schemas.openxmlformats.org/officeDocument/2006/relationships/hyperlink" Target="http://encode.ru/attachment.php?attachmentid=4648&amp;d=1474214539" TargetMode="External"/><Relationship Id="rId1328" Type="http://schemas.openxmlformats.org/officeDocument/2006/relationships/hyperlink" Target="https://drive.google.com/file/d/0ByLIAFlgldSoc0F3U2R4YkUtZTQ/view?usp=sharing" TargetMode="External"/><Relationship Id="rId1535" Type="http://schemas.openxmlformats.org/officeDocument/2006/relationships/hyperlink" Target="http://www.compression.ru/ds/" TargetMode="External"/><Relationship Id="rId905" Type="http://schemas.openxmlformats.org/officeDocument/2006/relationships/hyperlink" Target="http://www.winzip.com/" TargetMode="External"/><Relationship Id="rId1742" Type="http://schemas.openxmlformats.org/officeDocument/2006/relationships/hyperlink" Target="https://encode.ru/attachment.php?attachmentid=5122&amp;d=1503087121" TargetMode="External"/><Relationship Id="rId34" Type="http://schemas.openxmlformats.org/officeDocument/2006/relationships/hyperlink" Target="http://encode.ru/attachment.php?attachmentid=1946&amp;d=1336895016" TargetMode="External"/><Relationship Id="rId1602" Type="http://schemas.openxmlformats.org/officeDocument/2006/relationships/hyperlink" Target="https://encode.ru/attachment.php?attachmentid=5102&amp;d=1502725544" TargetMode="External"/><Relationship Id="rId183" Type="http://schemas.openxmlformats.org/officeDocument/2006/relationships/hyperlink" Target="http://www.nanozip.net/" TargetMode="External"/><Relationship Id="rId390" Type="http://schemas.openxmlformats.org/officeDocument/2006/relationships/hyperlink" Target="http://nishi.dreamhosters.com/u/reflate_v0c1.rar" TargetMode="External"/><Relationship Id="rId1907" Type="http://schemas.openxmlformats.org/officeDocument/2006/relationships/hyperlink" Target="https://encode.ru/attachment.php?attachmentid=5435&amp;d=1508621284" TargetMode="External"/><Relationship Id="rId250" Type="http://schemas.openxmlformats.org/officeDocument/2006/relationships/hyperlink" Target="https://github.com/Diazonium/AntiZ" TargetMode="External"/><Relationship Id="rId488" Type="http://schemas.openxmlformats.org/officeDocument/2006/relationships/hyperlink" Target="http://www.emit.jp/dgca/dgca_e.html" TargetMode="External"/><Relationship Id="rId695" Type="http://schemas.openxmlformats.org/officeDocument/2006/relationships/hyperlink" Target="http://freearc.org/" TargetMode="External"/><Relationship Id="rId110" Type="http://schemas.openxmlformats.org/officeDocument/2006/relationships/hyperlink" Target="http://sonimusicae.free.fr/Banques/SoniMusicae-Diato-sf2.zip" TargetMode="External"/><Relationship Id="rId348" Type="http://schemas.openxmlformats.org/officeDocument/2006/relationships/hyperlink" Target="http://encode.ru/attachment.php?attachmentid=2361&amp;d=1371506860" TargetMode="External"/><Relationship Id="rId555" Type="http://schemas.openxmlformats.org/officeDocument/2006/relationships/hyperlink" Target="http://www.nanozip.net/" TargetMode="External"/><Relationship Id="rId762" Type="http://schemas.openxmlformats.org/officeDocument/2006/relationships/hyperlink" Target="http://heartofcomp.altervista.org/packet1.9.zip" TargetMode="External"/><Relationship Id="rId1185" Type="http://schemas.openxmlformats.org/officeDocument/2006/relationships/hyperlink" Target="https://github.com/schnaader/precomp-cpp/releases/download/v0.4.5/precomp.zip" TargetMode="External"/><Relationship Id="rId1392" Type="http://schemas.openxmlformats.org/officeDocument/2006/relationships/hyperlink" Target="http://schnaader.info/precomp.php" TargetMode="External"/><Relationship Id="rId208" Type="http://schemas.openxmlformats.org/officeDocument/2006/relationships/hyperlink" Target="http://freearc.org/" TargetMode="External"/><Relationship Id="rId415" Type="http://schemas.openxmlformats.org/officeDocument/2006/relationships/hyperlink" Target="http://www.nanozip.net/" TargetMode="External"/><Relationship Id="rId622" Type="http://schemas.openxmlformats.org/officeDocument/2006/relationships/hyperlink" Target="https://drive.google.com/file/d/0ByLIAFlgldSoelpsSm81N1k4eFk/view?usp=sharing" TargetMode="External"/><Relationship Id="rId1045" Type="http://schemas.openxmlformats.org/officeDocument/2006/relationships/hyperlink" Target="http://www.7-zip.org/" TargetMode="External"/><Relationship Id="rId1252" Type="http://schemas.openxmlformats.org/officeDocument/2006/relationships/hyperlink" Target="http://encode.ru/attachment.php?attachmentid=1946&amp;d=1336895016" TargetMode="External"/><Relationship Id="rId1697" Type="http://schemas.openxmlformats.org/officeDocument/2006/relationships/hyperlink" Target="https://encode.ru/attachment.php?attachmentid=5122&amp;d=1503087121" TargetMode="External"/><Relationship Id="rId927" Type="http://schemas.openxmlformats.org/officeDocument/2006/relationships/hyperlink" Target="http://www.winzip.com/" TargetMode="External"/><Relationship Id="rId1112" Type="http://schemas.openxmlformats.org/officeDocument/2006/relationships/hyperlink" Target="http://ftp.sac.sk/sac/pack/wrar420.exe" TargetMode="External"/><Relationship Id="rId1557" Type="http://schemas.openxmlformats.org/officeDocument/2006/relationships/hyperlink" Target="http://www.compression.ru/ds/" TargetMode="External"/><Relationship Id="rId1764" Type="http://schemas.openxmlformats.org/officeDocument/2006/relationships/hyperlink" Target="https://drive.google.com/drive/folders/0B_X1BeQ2TuWibTBmVG90S0k1bVE" TargetMode="External"/><Relationship Id="rId56" Type="http://schemas.openxmlformats.org/officeDocument/2006/relationships/hyperlink" Target="http://www.nanozip.net/" TargetMode="External"/><Relationship Id="rId1417" Type="http://schemas.openxmlformats.org/officeDocument/2006/relationships/hyperlink" Target="https://drive.google.com/file/d/0ByLIAFlgldSoWkU0OWxMNTBuYXM/view?usp=sharing" TargetMode="External"/><Relationship Id="rId1624" Type="http://schemas.openxmlformats.org/officeDocument/2006/relationships/hyperlink" Target="https://encode.ru/attachment.php?attachmentid=5131&amp;d=1503168357" TargetMode="External"/><Relationship Id="rId1831" Type="http://schemas.openxmlformats.org/officeDocument/2006/relationships/hyperlink" Target="https://encode.ru/attachment.php?attachmentid=5284&amp;d=1504849543" TargetMode="External"/><Relationship Id="rId272" Type="http://schemas.openxmlformats.org/officeDocument/2006/relationships/hyperlink" Target="http://www.7-zip.org/" TargetMode="External"/><Relationship Id="rId577" Type="http://schemas.openxmlformats.org/officeDocument/2006/relationships/hyperlink" Target="http://encode.ru/attachment.php?attachmentid=2361&amp;d=1371506860" TargetMode="External"/><Relationship Id="rId132" Type="http://schemas.openxmlformats.org/officeDocument/2006/relationships/hyperlink" Target="http://heartofcomp.altervista.org/zcm093.zip" TargetMode="External"/><Relationship Id="rId784" Type="http://schemas.openxmlformats.org/officeDocument/2006/relationships/hyperlink" Target="https://github.com/google/brotli" TargetMode="External"/><Relationship Id="rId991" Type="http://schemas.openxmlformats.org/officeDocument/2006/relationships/hyperlink" Target="http://heartofcomp.altervista.org/packet1.9.zip" TargetMode="External"/><Relationship Id="rId1067" Type="http://schemas.openxmlformats.org/officeDocument/2006/relationships/hyperlink" Target="http://heartofcomp.altervista.org/zcm093.zip" TargetMode="External"/><Relationship Id="rId437" Type="http://schemas.openxmlformats.org/officeDocument/2006/relationships/hyperlink" Target="http://bzip.org/" TargetMode="External"/><Relationship Id="rId644" Type="http://schemas.openxmlformats.org/officeDocument/2006/relationships/hyperlink" Target="https://github.com/Cyan4973/zstd" TargetMode="External"/><Relationship Id="rId851" Type="http://schemas.openxmlformats.org/officeDocument/2006/relationships/hyperlink" Target="http://www.winzip.com/" TargetMode="External"/><Relationship Id="rId1274" Type="http://schemas.openxmlformats.org/officeDocument/2006/relationships/hyperlink" Target="http://nishi.dreamhosters.com/u/rawfilt_v1g.rar" TargetMode="External"/><Relationship Id="rId1481" Type="http://schemas.openxmlformats.org/officeDocument/2006/relationships/hyperlink" Target="https://drive.google.com/file/d/0ByLIAFlgldSoWkU0OWxMNTBuYXM/view?usp=sharing" TargetMode="External"/><Relationship Id="rId1579" Type="http://schemas.openxmlformats.org/officeDocument/2006/relationships/hyperlink" Target="https://encode.ru/attachment.php?attachmentid=5102&amp;d=1502725544" TargetMode="External"/><Relationship Id="rId504" Type="http://schemas.openxmlformats.org/officeDocument/2006/relationships/hyperlink" Target="http://www.winzip.com/" TargetMode="External"/><Relationship Id="rId711" Type="http://schemas.openxmlformats.org/officeDocument/2006/relationships/hyperlink" Target="http://encode.ru/attachment.php?attachmentid=4536&amp;d=1468876571" TargetMode="External"/><Relationship Id="rId949" Type="http://schemas.openxmlformats.org/officeDocument/2006/relationships/hyperlink" Target="https://github.com/Cyan4973/zstd" TargetMode="External"/><Relationship Id="rId1134" Type="http://schemas.openxmlformats.org/officeDocument/2006/relationships/hyperlink" Target="http://encode.ru/attachment.php?attachmentid=4154&amp;d=1457802709" TargetMode="External"/><Relationship Id="rId1341" Type="http://schemas.openxmlformats.org/officeDocument/2006/relationships/hyperlink" Target="http://encode.ru/attachment.php?attachmentid=3211&amp;d=1414109843" TargetMode="External"/><Relationship Id="rId1786" Type="http://schemas.openxmlformats.org/officeDocument/2006/relationships/hyperlink" Target="http://www.powerarchiver.com/" TargetMode="External"/><Relationship Id="rId78" Type="http://schemas.openxmlformats.org/officeDocument/2006/relationships/hyperlink" Target="http://www.winace.com/" TargetMode="External"/><Relationship Id="rId809" Type="http://schemas.openxmlformats.org/officeDocument/2006/relationships/hyperlink" Target="https://github.com/Cyan4973/zstd" TargetMode="External"/><Relationship Id="rId1201" Type="http://schemas.openxmlformats.org/officeDocument/2006/relationships/hyperlink" Target="http://nishi.dreamhosters.com/u/rawfilt_v1g.rar" TargetMode="External"/><Relationship Id="rId1439" Type="http://schemas.openxmlformats.org/officeDocument/2006/relationships/hyperlink" Target="http://www.rawzor.com/" TargetMode="External"/><Relationship Id="rId1646" Type="http://schemas.openxmlformats.org/officeDocument/2006/relationships/hyperlink" Target="https://encode.ru/attachment.php?attachmentid=5131&amp;d=1503168357" TargetMode="External"/><Relationship Id="rId1853" Type="http://schemas.openxmlformats.org/officeDocument/2006/relationships/hyperlink" Target="https://encode.ru/attachment.php?attachmentid=5284&amp;d=1504849543" TargetMode="External"/><Relationship Id="rId1506" Type="http://schemas.openxmlformats.org/officeDocument/2006/relationships/hyperlink" Target="http://www.rarlabs.com/" TargetMode="External"/><Relationship Id="rId1713" Type="http://schemas.openxmlformats.org/officeDocument/2006/relationships/hyperlink" Target="https://drive.google.com/drive/folders/0B_X1BeQ2TuWibTBmVG90S0k1bVE" TargetMode="External"/><Relationship Id="rId294" Type="http://schemas.openxmlformats.org/officeDocument/2006/relationships/hyperlink" Target="http://schnaader.info/precomp.php" TargetMode="External"/><Relationship Id="rId154" Type="http://schemas.openxmlformats.org/officeDocument/2006/relationships/hyperlink" Target="http://mattmahoney.net/dc/zpaq.html" TargetMode="External"/><Relationship Id="rId361" Type="http://schemas.openxmlformats.org/officeDocument/2006/relationships/hyperlink" Target="http://libbsc.com/" TargetMode="External"/><Relationship Id="rId599" Type="http://schemas.openxmlformats.org/officeDocument/2006/relationships/hyperlink" Target="https://drive.google.com/file/d/0ByLIAFlgldSoX01RNldhUHlpTlE/view?usp=sharing" TargetMode="External"/><Relationship Id="rId459" Type="http://schemas.openxmlformats.org/officeDocument/2006/relationships/hyperlink" Target="http://www.winzip.com/" TargetMode="External"/><Relationship Id="rId666" Type="http://schemas.openxmlformats.org/officeDocument/2006/relationships/hyperlink" Target="https://github.com/hxim/paq8px" TargetMode="External"/><Relationship Id="rId873" Type="http://schemas.openxmlformats.org/officeDocument/2006/relationships/hyperlink" Target="http://www.emit.jp/dgca/dgca_e.html" TargetMode="External"/><Relationship Id="rId1089" Type="http://schemas.openxmlformats.org/officeDocument/2006/relationships/hyperlink" Target="http://ftp.sac.sk/sac/pack/wrar420.exe" TargetMode="External"/><Relationship Id="rId1296" Type="http://schemas.openxmlformats.org/officeDocument/2006/relationships/hyperlink" Target="http://encode.ru/attachment.php?attachmentid=2361&amp;d=1371506860" TargetMode="External"/><Relationship Id="rId221" Type="http://schemas.openxmlformats.org/officeDocument/2006/relationships/hyperlink" Target="http://www.winzip.com/" TargetMode="External"/><Relationship Id="rId319" Type="http://schemas.openxmlformats.org/officeDocument/2006/relationships/hyperlink" Target="http://www.winzip.com/" TargetMode="External"/><Relationship Id="rId526" Type="http://schemas.openxmlformats.org/officeDocument/2006/relationships/hyperlink" Target="http://encode.ru/attachment.php?attachmentid=2361&amp;d=1371506860" TargetMode="External"/><Relationship Id="rId1156" Type="http://schemas.openxmlformats.org/officeDocument/2006/relationships/hyperlink" Target="http://encode.ru/attachment.php?attachmentid=4154&amp;d=1457802709" TargetMode="External"/><Relationship Id="rId1363" Type="http://schemas.openxmlformats.org/officeDocument/2006/relationships/hyperlink" Target="http://heartofcomp.altervista.org/packet1.9.zip" TargetMode="External"/><Relationship Id="rId733" Type="http://schemas.openxmlformats.org/officeDocument/2006/relationships/hyperlink" Target="https://github.com/google/brotli" TargetMode="External"/><Relationship Id="rId940" Type="http://schemas.openxmlformats.org/officeDocument/2006/relationships/hyperlink" Target="http://schnaader.info/precomp.php" TargetMode="External"/><Relationship Id="rId1016" Type="http://schemas.openxmlformats.org/officeDocument/2006/relationships/hyperlink" Target="ftp://ftp.sac.sk/pub/sac/pack/uharc06b.zip" TargetMode="External"/><Relationship Id="rId1570" Type="http://schemas.openxmlformats.org/officeDocument/2006/relationships/hyperlink" Target="https://encode.ru/attachment.php?attachmentid=5102&amp;d=1502725544" TargetMode="External"/><Relationship Id="rId1668" Type="http://schemas.openxmlformats.org/officeDocument/2006/relationships/hyperlink" Target="https://drive.google.com/drive/folders/0B_X1BeQ2TuWibTBmVG90S0k1bVE" TargetMode="External"/><Relationship Id="rId1875" Type="http://schemas.openxmlformats.org/officeDocument/2006/relationships/hyperlink" Target="https://encode.ru/attachment.php?attachmentid=5435&amp;d=1508621284" TargetMode="External"/><Relationship Id="rId800" Type="http://schemas.openxmlformats.org/officeDocument/2006/relationships/hyperlink" Target="http://www.7-zip.org/" TargetMode="External"/><Relationship Id="rId1223" Type="http://schemas.openxmlformats.org/officeDocument/2006/relationships/hyperlink" Target="http://nishi.dreamhosters.com/u/rawfilt_v1g.rar" TargetMode="External"/><Relationship Id="rId1430" Type="http://schemas.openxmlformats.org/officeDocument/2006/relationships/hyperlink" Target="http://libbsc.com/" TargetMode="External"/><Relationship Id="rId1528" Type="http://schemas.openxmlformats.org/officeDocument/2006/relationships/hyperlink" Target="https://github.com/Cyan4973/zstd" TargetMode="External"/><Relationship Id="rId1735" Type="http://schemas.openxmlformats.org/officeDocument/2006/relationships/hyperlink" Target="http://www.powerarchiver.com/" TargetMode="External"/><Relationship Id="rId27" Type="http://schemas.openxmlformats.org/officeDocument/2006/relationships/hyperlink" Target="http://encode.ru/attachment.php?attachmentid=3211&amp;d=1414109843" TargetMode="External"/><Relationship Id="rId1802" Type="http://schemas.openxmlformats.org/officeDocument/2006/relationships/hyperlink" Target="https://encode.ru/attachment.php?attachmentid=5122&amp;d=1503087121" TargetMode="External"/><Relationship Id="rId176" Type="http://schemas.openxmlformats.org/officeDocument/2006/relationships/hyperlink" Target="http://encode.ru/attachment.php?attachmentid=1946&amp;d=1336895016" TargetMode="External"/><Relationship Id="rId383" Type="http://schemas.openxmlformats.org/officeDocument/2006/relationships/hyperlink" Target="http://www.nanozip.net/" TargetMode="External"/><Relationship Id="rId590" Type="http://schemas.openxmlformats.org/officeDocument/2006/relationships/hyperlink" Target="http://encode.ru/attachment.php?attachmentid=2361&amp;d=1371506860" TargetMode="External"/><Relationship Id="rId243" Type="http://schemas.openxmlformats.org/officeDocument/2006/relationships/hyperlink" Target="http://freearc.org/" TargetMode="External"/><Relationship Id="rId450" Type="http://schemas.openxmlformats.org/officeDocument/2006/relationships/hyperlink" Target="http://www.winace.com/" TargetMode="External"/><Relationship Id="rId688" Type="http://schemas.openxmlformats.org/officeDocument/2006/relationships/hyperlink" Target="http://code.google.com/p/lzham/" TargetMode="External"/><Relationship Id="rId895" Type="http://schemas.openxmlformats.org/officeDocument/2006/relationships/hyperlink" Target="http://schnaader.info/precomp.php" TargetMode="External"/><Relationship Id="rId1080" Type="http://schemas.openxmlformats.org/officeDocument/2006/relationships/hyperlink" Target="http://heartofcomp.altervista.org/zcm093.zip" TargetMode="External"/><Relationship Id="rId103" Type="http://schemas.openxmlformats.org/officeDocument/2006/relationships/hyperlink" Target="http://www.nanozip.net/" TargetMode="External"/><Relationship Id="rId310" Type="http://schemas.openxmlformats.org/officeDocument/2006/relationships/hyperlink" Target="http://www.7-zip.org/" TargetMode="External"/><Relationship Id="rId548" Type="http://schemas.openxmlformats.org/officeDocument/2006/relationships/hyperlink" Target="http://www.compression.ru/ds/" TargetMode="External"/><Relationship Id="rId755" Type="http://schemas.openxmlformats.org/officeDocument/2006/relationships/hyperlink" Target="https://github.com/google/brotli" TargetMode="External"/><Relationship Id="rId962" Type="http://schemas.openxmlformats.org/officeDocument/2006/relationships/hyperlink" Target="https://github.com/Cyan4973/zstd" TargetMode="External"/><Relationship Id="rId1178" Type="http://schemas.openxmlformats.org/officeDocument/2006/relationships/hyperlink" Target="https://github.com/schnaader/precomp-cpp/releases/download/v0.4.5/precomp.zip" TargetMode="External"/><Relationship Id="rId1385" Type="http://schemas.openxmlformats.org/officeDocument/2006/relationships/hyperlink" Target="http://libbsc.com/" TargetMode="External"/><Relationship Id="rId1592" Type="http://schemas.openxmlformats.org/officeDocument/2006/relationships/hyperlink" Target="https://encode.ru/attachment.php?attachmentid=5102&amp;d=1502725544" TargetMode="External"/><Relationship Id="rId91" Type="http://schemas.openxmlformats.org/officeDocument/2006/relationships/hyperlink" Target="http://libbsc.com/" TargetMode="External"/><Relationship Id="rId408" Type="http://schemas.openxmlformats.org/officeDocument/2006/relationships/hyperlink" Target="http://www.7-zip.org/" TargetMode="External"/><Relationship Id="rId615" Type="http://schemas.openxmlformats.org/officeDocument/2006/relationships/hyperlink" Target="https://drive.google.com/file/d/0ByLIAFlgldSoR3ZsSUlEQ0JKazQ/view?usp=sharing" TargetMode="External"/><Relationship Id="rId822" Type="http://schemas.openxmlformats.org/officeDocument/2006/relationships/hyperlink" Target="http://www.winzip.com/" TargetMode="External"/><Relationship Id="rId1038" Type="http://schemas.openxmlformats.org/officeDocument/2006/relationships/hyperlink" Target="https://github.com/google/brotli" TargetMode="External"/><Relationship Id="rId1245" Type="http://schemas.openxmlformats.org/officeDocument/2006/relationships/hyperlink" Target="https://drive.google.com/open?id=0B_X1BeQ2TuWiWVFVTnhMSFhiZHM" TargetMode="External"/><Relationship Id="rId1452" Type="http://schemas.openxmlformats.org/officeDocument/2006/relationships/hyperlink" Target="http://img.photographyblog.com/reviews/canon_eos_7d/sample_images/canon_eos_7d_05.cr2" TargetMode="External"/><Relationship Id="rId1897" Type="http://schemas.openxmlformats.org/officeDocument/2006/relationships/hyperlink" Target="https://encode.ru/attachment.php?attachmentid=5435&amp;d=1508621284" TargetMode="External"/><Relationship Id="rId1105" Type="http://schemas.openxmlformats.org/officeDocument/2006/relationships/hyperlink" Target="http://ftp.sac.sk/sac/pack/wrar420.exe" TargetMode="External"/><Relationship Id="rId1312" Type="http://schemas.openxmlformats.org/officeDocument/2006/relationships/hyperlink" Target="http://www.emit.jp/dgca/dgca_e.html" TargetMode="External"/><Relationship Id="rId1757" Type="http://schemas.openxmlformats.org/officeDocument/2006/relationships/hyperlink" Target="https://encode.ru/attachment.php?attachmentid=5122&amp;d=1503087121" TargetMode="External"/><Relationship Id="rId49" Type="http://schemas.openxmlformats.org/officeDocument/2006/relationships/hyperlink" Target="http://schnaader.info/precomp.php" TargetMode="External"/><Relationship Id="rId1617" Type="http://schemas.openxmlformats.org/officeDocument/2006/relationships/hyperlink" Target="https://encode.ru/attachment.php?attachmentid=5131&amp;d=1503168357" TargetMode="External"/><Relationship Id="rId1824" Type="http://schemas.openxmlformats.org/officeDocument/2006/relationships/hyperlink" Target="https://encode.ru/attachment.php?attachmentid=5284&amp;d=1504849543" TargetMode="External"/><Relationship Id="rId198" Type="http://schemas.openxmlformats.org/officeDocument/2006/relationships/hyperlink" Target="http://www.compression.ru/ds/" TargetMode="External"/><Relationship Id="rId265" Type="http://schemas.openxmlformats.org/officeDocument/2006/relationships/hyperlink" Target="http://libbsc.com/" TargetMode="External"/><Relationship Id="rId472" Type="http://schemas.openxmlformats.org/officeDocument/2006/relationships/hyperlink" Target="http://encode.ru/attachment.php?attachmentid=2361&amp;d=1371506860" TargetMode="External"/><Relationship Id="rId125" Type="http://schemas.openxmlformats.org/officeDocument/2006/relationships/hyperlink" Target="http://www.emit.jp/dgca/dgca_e.html" TargetMode="External"/><Relationship Id="rId332" Type="http://schemas.openxmlformats.org/officeDocument/2006/relationships/hyperlink" Target="http://www.madtracker.org/" TargetMode="External"/><Relationship Id="rId777" Type="http://schemas.openxmlformats.org/officeDocument/2006/relationships/hyperlink" Target="http://heartofcomp.altervista.org/packet1.9.zip" TargetMode="External"/><Relationship Id="rId984" Type="http://schemas.openxmlformats.org/officeDocument/2006/relationships/hyperlink" Target="https://github.com/google/brotli" TargetMode="External"/><Relationship Id="rId637" Type="http://schemas.openxmlformats.org/officeDocument/2006/relationships/hyperlink" Target="https://github.com/Cyan4973/zstd" TargetMode="External"/><Relationship Id="rId844" Type="http://schemas.openxmlformats.org/officeDocument/2006/relationships/hyperlink" Target="http://nishi.dreamhosters.com/u/reflate_v0c1.rar" TargetMode="External"/><Relationship Id="rId1267" Type="http://schemas.openxmlformats.org/officeDocument/2006/relationships/hyperlink" Target="https://drive.google.com/file/d/0ByLIAFlgldSodVZXdEVvQlZMVGc/view?usp=sharing" TargetMode="External"/><Relationship Id="rId1474" Type="http://schemas.openxmlformats.org/officeDocument/2006/relationships/hyperlink" Target="http://encode.ru/attachment.php?attachmentid=4648&amp;d=1474214539" TargetMode="External"/><Relationship Id="rId1681" Type="http://schemas.openxmlformats.org/officeDocument/2006/relationships/hyperlink" Target="http://www.powerarchiver.com/" TargetMode="External"/><Relationship Id="rId704" Type="http://schemas.openxmlformats.org/officeDocument/2006/relationships/hyperlink" Target="https://github.com/schnaader/precomp-cpp/tree/master/contrib/packmp3" TargetMode="External"/><Relationship Id="rId911" Type="http://schemas.openxmlformats.org/officeDocument/2006/relationships/hyperlink" Target="http://bzip.org/" TargetMode="External"/><Relationship Id="rId1127" Type="http://schemas.openxmlformats.org/officeDocument/2006/relationships/hyperlink" Target="http://encode.ru/attachment.php?attachmentid=4154&amp;d=1457802709" TargetMode="External"/><Relationship Id="rId1334" Type="http://schemas.openxmlformats.org/officeDocument/2006/relationships/hyperlink" Target="http://heartofcomp.altervista.org/zcm093.zip" TargetMode="External"/><Relationship Id="rId1541" Type="http://schemas.openxmlformats.org/officeDocument/2006/relationships/hyperlink" Target="http://encode.ru/attachment.php?attachmentid=4661&amp;d=1474958346" TargetMode="External"/><Relationship Id="rId1779" Type="http://schemas.openxmlformats.org/officeDocument/2006/relationships/hyperlink" Target="https://drive.google.com/drive/folders/0B_X1BeQ2TuWibTBmVG90S0k1bVE" TargetMode="External"/><Relationship Id="rId40" Type="http://schemas.openxmlformats.org/officeDocument/2006/relationships/hyperlink" Target="http://nishi.dreamhosters.com/u/reflate_v0c1.rar" TargetMode="External"/><Relationship Id="rId1401" Type="http://schemas.openxmlformats.org/officeDocument/2006/relationships/hyperlink" Target="https://github.com/schnaader/precomp-cpp/releases/download/v0.4.5/precomp.zip" TargetMode="External"/><Relationship Id="rId1639" Type="http://schemas.openxmlformats.org/officeDocument/2006/relationships/hyperlink" Target="https://encode.ru/attachment.php?attachmentid=5131&amp;d=1503168357" TargetMode="External"/><Relationship Id="rId1846" Type="http://schemas.openxmlformats.org/officeDocument/2006/relationships/hyperlink" Target="https://encode.ru/attachment.php?attachmentid=5284&amp;d=1504849543" TargetMode="External"/><Relationship Id="rId1706" Type="http://schemas.openxmlformats.org/officeDocument/2006/relationships/hyperlink" Target="https://encode.ru/attachment.php?attachmentid=5122&amp;d=1503087121" TargetMode="External"/><Relationship Id="rId1913" Type="http://schemas.openxmlformats.org/officeDocument/2006/relationships/comments" Target="../comments6.xml"/><Relationship Id="rId287" Type="http://schemas.openxmlformats.org/officeDocument/2006/relationships/hyperlink" Target="http://encode.ru/attachment.php?attachmentid=3211&amp;d=1414109843" TargetMode="External"/><Relationship Id="rId494" Type="http://schemas.openxmlformats.org/officeDocument/2006/relationships/hyperlink" Target="http://www.7-zip.org/" TargetMode="External"/><Relationship Id="rId147" Type="http://schemas.openxmlformats.org/officeDocument/2006/relationships/hyperlink" Target="http://www.winace.com/" TargetMode="External"/><Relationship Id="rId354" Type="http://schemas.openxmlformats.org/officeDocument/2006/relationships/hyperlink" Target="http://code.google.com/p/lzham/" TargetMode="External"/><Relationship Id="rId799" Type="http://schemas.openxmlformats.org/officeDocument/2006/relationships/hyperlink" Target="http://code.google.com/p/lzham/" TargetMode="External"/><Relationship Id="rId1191" Type="http://schemas.openxmlformats.org/officeDocument/2006/relationships/hyperlink" Target="http://nishi.dreamhosters.com/u/rawfilt_v1g.rar" TargetMode="External"/><Relationship Id="rId561" Type="http://schemas.openxmlformats.org/officeDocument/2006/relationships/hyperlink" Target="https://github.com/Diazonium/AntiZ" TargetMode="External"/><Relationship Id="rId659" Type="http://schemas.openxmlformats.org/officeDocument/2006/relationships/hyperlink" Target="https://github.com/hxim/paq8px" TargetMode="External"/><Relationship Id="rId866" Type="http://schemas.openxmlformats.org/officeDocument/2006/relationships/hyperlink" Target="http://encode.ru/attachment.php?attachmentid=4536&amp;d=1468876571" TargetMode="External"/><Relationship Id="rId1289" Type="http://schemas.openxmlformats.org/officeDocument/2006/relationships/hyperlink" Target="ftp://ftp.sac.sk/pub/sac/pack/uharc06b.zip" TargetMode="External"/><Relationship Id="rId1496" Type="http://schemas.openxmlformats.org/officeDocument/2006/relationships/hyperlink" Target="http://www.rawzor.com/" TargetMode="External"/><Relationship Id="rId214" Type="http://schemas.openxmlformats.org/officeDocument/2006/relationships/hyperlink" Target="http://nishi.dreamhosters.com/u/reflate_v0c1.rar" TargetMode="External"/><Relationship Id="rId421" Type="http://schemas.openxmlformats.org/officeDocument/2006/relationships/hyperlink" Target="http://encode.ru/attachment.php?attachmentid=2361&amp;d=1371506860" TargetMode="External"/><Relationship Id="rId519" Type="http://schemas.openxmlformats.org/officeDocument/2006/relationships/hyperlink" Target="http://www.compression.ru/ds/" TargetMode="External"/><Relationship Id="rId1051" Type="http://schemas.openxmlformats.org/officeDocument/2006/relationships/hyperlink" Target="http://heartofcomp.altervista.org/zcm093.zip" TargetMode="External"/><Relationship Id="rId1149" Type="http://schemas.openxmlformats.org/officeDocument/2006/relationships/hyperlink" Target="http://encode.ru/attachment.php?attachmentid=4154&amp;d=1457802709" TargetMode="External"/><Relationship Id="rId1356" Type="http://schemas.openxmlformats.org/officeDocument/2006/relationships/hyperlink" Target="http://libbsc.com/" TargetMode="External"/><Relationship Id="rId726" Type="http://schemas.openxmlformats.org/officeDocument/2006/relationships/hyperlink" Target="http://encode.ru/attachment.php?attachmentid=4536&amp;d=1468876571" TargetMode="External"/><Relationship Id="rId933" Type="http://schemas.openxmlformats.org/officeDocument/2006/relationships/hyperlink" Target="http://libbsc.com/" TargetMode="External"/><Relationship Id="rId1009" Type="http://schemas.openxmlformats.org/officeDocument/2006/relationships/hyperlink" Target="http://www.rawzor.com/" TargetMode="External"/><Relationship Id="rId1563" Type="http://schemas.openxmlformats.org/officeDocument/2006/relationships/hyperlink" Target="http://www.compression.ru/ds/" TargetMode="External"/><Relationship Id="rId1770" Type="http://schemas.openxmlformats.org/officeDocument/2006/relationships/hyperlink" Target="https://drive.google.com/drive/folders/0B_X1BeQ2TuWibTBmVG90S0k1bVE" TargetMode="External"/><Relationship Id="rId1868" Type="http://schemas.openxmlformats.org/officeDocument/2006/relationships/hyperlink" Target="https://encode.ru/attachment.php?attachmentid=5435&amp;d=1508621284" TargetMode="External"/><Relationship Id="rId62" Type="http://schemas.openxmlformats.org/officeDocument/2006/relationships/hyperlink" Target="http://www.compression.ru/ds/" TargetMode="External"/><Relationship Id="rId1216" Type="http://schemas.openxmlformats.org/officeDocument/2006/relationships/hyperlink" Target="http://nishi.dreamhosters.com/u/rawfilt_v1g.rar" TargetMode="External"/><Relationship Id="rId1423" Type="http://schemas.openxmlformats.org/officeDocument/2006/relationships/hyperlink" Target="http://code.google.com/p/lzham/" TargetMode="External"/><Relationship Id="rId1630" Type="http://schemas.openxmlformats.org/officeDocument/2006/relationships/hyperlink" Target="https://encode.ru/attachment.php?attachmentid=5131&amp;d=1503168357" TargetMode="External"/><Relationship Id="rId1728" Type="http://schemas.openxmlformats.org/officeDocument/2006/relationships/hyperlink" Target="https://drive.google.com/drive/folders/0B_X1BeQ2TuWibTBmVG90S0k1bVE" TargetMode="External"/><Relationship Id="rId169" Type="http://schemas.openxmlformats.org/officeDocument/2006/relationships/hyperlink" Target="http://freearc.org/" TargetMode="External"/><Relationship Id="rId376" Type="http://schemas.openxmlformats.org/officeDocument/2006/relationships/hyperlink" Target="http://www.7-zip.org/" TargetMode="External"/><Relationship Id="rId583" Type="http://schemas.openxmlformats.org/officeDocument/2006/relationships/hyperlink" Target="http://encode.ru/attachment.php?attachmentid=2361&amp;d=1371506860" TargetMode="External"/><Relationship Id="rId790" Type="http://schemas.openxmlformats.org/officeDocument/2006/relationships/hyperlink" Target="http://www.nanozip.net/" TargetMode="External"/><Relationship Id="rId4" Type="http://schemas.openxmlformats.org/officeDocument/2006/relationships/hyperlink" Target="http://www.soundslimmer.com/" TargetMode="External"/><Relationship Id="rId236" Type="http://schemas.openxmlformats.org/officeDocument/2006/relationships/hyperlink" Target="http://schnaader.info/precomp.php" TargetMode="External"/><Relationship Id="rId443" Type="http://schemas.openxmlformats.org/officeDocument/2006/relationships/hyperlink" Target="http://schnaader.info/precomp.php" TargetMode="External"/><Relationship Id="rId650" Type="http://schemas.openxmlformats.org/officeDocument/2006/relationships/hyperlink" Target="https://github.com/Cyan4973/zstd" TargetMode="External"/><Relationship Id="rId888" Type="http://schemas.openxmlformats.org/officeDocument/2006/relationships/hyperlink" Target="http://encode.ru/attachment.php?attachmentid=2361&amp;d=1371506860" TargetMode="External"/><Relationship Id="rId1073" Type="http://schemas.openxmlformats.org/officeDocument/2006/relationships/hyperlink" Target="http://heartofcomp.altervista.org/zcm093.zip" TargetMode="External"/><Relationship Id="rId1280" Type="http://schemas.openxmlformats.org/officeDocument/2006/relationships/hyperlink" Target="http://img.photographyblog.com/reviews/canon_eos_7d/sample_images/canon_eos_7d_05.cr2" TargetMode="External"/><Relationship Id="rId303" Type="http://schemas.openxmlformats.org/officeDocument/2006/relationships/hyperlink" Target="http://libbsc.com/" TargetMode="External"/><Relationship Id="rId748" Type="http://schemas.openxmlformats.org/officeDocument/2006/relationships/hyperlink" Target="http://heartofcomp.altervista.org/packet1.9.zip" TargetMode="External"/><Relationship Id="rId955" Type="http://schemas.openxmlformats.org/officeDocument/2006/relationships/hyperlink" Target="https://github.com/Cyan4973/zstd" TargetMode="External"/><Relationship Id="rId1140" Type="http://schemas.openxmlformats.org/officeDocument/2006/relationships/hyperlink" Target="http://encode.ru/attachment.php?attachmentid=4154&amp;d=1457802709" TargetMode="External"/><Relationship Id="rId1378" Type="http://schemas.openxmlformats.org/officeDocument/2006/relationships/hyperlink" Target="http://code.google.com/p/lzham/" TargetMode="External"/><Relationship Id="rId1585" Type="http://schemas.openxmlformats.org/officeDocument/2006/relationships/hyperlink" Target="https://encode.ru/attachment.php?attachmentid=5102&amp;d=1502725544" TargetMode="External"/><Relationship Id="rId1792" Type="http://schemas.openxmlformats.org/officeDocument/2006/relationships/hyperlink" Target="http://www.powerarchiver.com/" TargetMode="External"/><Relationship Id="rId84" Type="http://schemas.openxmlformats.org/officeDocument/2006/relationships/hyperlink" Target="http://www.emit.jp/dgca/dgca_e.html" TargetMode="External"/><Relationship Id="rId510" Type="http://schemas.openxmlformats.org/officeDocument/2006/relationships/hyperlink" Target="http://code.google.com/p/lzham/" TargetMode="External"/><Relationship Id="rId608" Type="http://schemas.openxmlformats.org/officeDocument/2006/relationships/hyperlink" Target="https://drive.google.com/file/d/0ByLIAFlgldSodDB5QkV4M3Vpd28/view?usp=sharing" TargetMode="External"/><Relationship Id="rId815" Type="http://schemas.openxmlformats.org/officeDocument/2006/relationships/hyperlink" Target="http://encode.ru/attachment.php?attachmentid=4536&amp;d=1468876571" TargetMode="External"/><Relationship Id="rId1238" Type="http://schemas.openxmlformats.org/officeDocument/2006/relationships/hyperlink" Target="https://drive.google.com/open?id=0B_X1BeQ2TuWiWVFVTnhMSFhiZHM" TargetMode="External"/><Relationship Id="rId1445" Type="http://schemas.openxmlformats.org/officeDocument/2006/relationships/hyperlink" Target="http://encode.ru/attachment.php?attachmentid=4154&amp;d=1457802709" TargetMode="External"/><Relationship Id="rId1652" Type="http://schemas.openxmlformats.org/officeDocument/2006/relationships/hyperlink" Target="https://drive.google.com/open?id=0B_X1BeQ2TuWickxKMGVnQzFzTUE" TargetMode="External"/><Relationship Id="rId1000" Type="http://schemas.openxmlformats.org/officeDocument/2006/relationships/hyperlink" Target="https://github.com/google/brotli" TargetMode="External"/><Relationship Id="rId1305" Type="http://schemas.openxmlformats.org/officeDocument/2006/relationships/hyperlink" Target="http://nishi.dreamhosters.com/u/rawfilt_v1g.rar" TargetMode="External"/><Relationship Id="rId1512" Type="http://schemas.openxmlformats.org/officeDocument/2006/relationships/hyperlink" Target="http://www.rarlabs.com/" TargetMode="External"/><Relationship Id="rId1817" Type="http://schemas.openxmlformats.org/officeDocument/2006/relationships/hyperlink" Target="https://encode.ru/attachment.php?attachmentid=5247&amp;d=1504524157" TargetMode="External"/><Relationship Id="rId11" Type="http://schemas.openxmlformats.org/officeDocument/2006/relationships/hyperlink" Target="http://encode.ru/attachment.php?attachmentid=1501&amp;d=1298990074" TargetMode="External"/><Relationship Id="rId398" Type="http://schemas.openxmlformats.org/officeDocument/2006/relationships/hyperlink" Target="http://freearc.org/" TargetMode="External"/><Relationship Id="rId160" Type="http://schemas.openxmlformats.org/officeDocument/2006/relationships/hyperlink" Target="http://schnaader.info/precomp.php" TargetMode="External"/><Relationship Id="rId258" Type="http://schemas.openxmlformats.org/officeDocument/2006/relationships/hyperlink" Target="http://www.winzip.com/" TargetMode="External"/><Relationship Id="rId465" Type="http://schemas.openxmlformats.org/officeDocument/2006/relationships/hyperlink" Target="http://www.compression.ru/ds/" TargetMode="External"/><Relationship Id="rId672" Type="http://schemas.openxmlformats.org/officeDocument/2006/relationships/hyperlink" Target="https://github.com/hxim/paq8px" TargetMode="External"/><Relationship Id="rId1095" Type="http://schemas.openxmlformats.org/officeDocument/2006/relationships/hyperlink" Target="http://ftp.sac.sk/sac/pack/wrar420.exe" TargetMode="External"/><Relationship Id="rId118" Type="http://schemas.openxmlformats.org/officeDocument/2006/relationships/hyperlink" Target="http://code.google.com/p/lzham/" TargetMode="External"/><Relationship Id="rId325" Type="http://schemas.openxmlformats.org/officeDocument/2006/relationships/hyperlink" Target="http://sagamusix.de/download/discovery/mod/" TargetMode="External"/><Relationship Id="rId532" Type="http://schemas.openxmlformats.org/officeDocument/2006/relationships/hyperlink" Target="http://bzip.org/" TargetMode="External"/><Relationship Id="rId977" Type="http://schemas.openxmlformats.org/officeDocument/2006/relationships/hyperlink" Target="https://github.com/google/brotli" TargetMode="External"/><Relationship Id="rId1162" Type="http://schemas.openxmlformats.org/officeDocument/2006/relationships/hyperlink" Target="https://github.com/schnaader/precomp-cpp/releases/download/v0.4.5/precomp.zip" TargetMode="External"/><Relationship Id="rId837" Type="http://schemas.openxmlformats.org/officeDocument/2006/relationships/hyperlink" Target="http://www.rawzor.com/" TargetMode="External"/><Relationship Id="rId1022" Type="http://schemas.openxmlformats.org/officeDocument/2006/relationships/hyperlink" Target="http://bzip.org/" TargetMode="External"/><Relationship Id="rId1467" Type="http://schemas.openxmlformats.org/officeDocument/2006/relationships/hyperlink" Target="http://www.winzip.com/" TargetMode="External"/><Relationship Id="rId1674" Type="http://schemas.openxmlformats.org/officeDocument/2006/relationships/hyperlink" Target="https://drive.google.com/drive/folders/0B_X1BeQ2TuWibTBmVG90S0k1bVE" TargetMode="External"/><Relationship Id="rId1881" Type="http://schemas.openxmlformats.org/officeDocument/2006/relationships/hyperlink" Target="https://encode.ru/attachment.php?attachmentid=5435&amp;d=1508621284" TargetMode="External"/><Relationship Id="rId904" Type="http://schemas.openxmlformats.org/officeDocument/2006/relationships/hyperlink" Target="http://www.winzip.com/" TargetMode="External"/><Relationship Id="rId1327" Type="http://schemas.openxmlformats.org/officeDocument/2006/relationships/hyperlink" Target="http://encode.ru/attachment.php?attachmentid=2361&amp;d=1371506860" TargetMode="External"/><Relationship Id="rId1534" Type="http://schemas.openxmlformats.org/officeDocument/2006/relationships/hyperlink" Target="https://github.com/Cyan4973/zstd" TargetMode="External"/><Relationship Id="rId1741" Type="http://schemas.openxmlformats.org/officeDocument/2006/relationships/hyperlink" Target="http://www.powerarchiver.com/" TargetMode="External"/><Relationship Id="rId33" Type="http://schemas.openxmlformats.org/officeDocument/2006/relationships/hyperlink" Target="http://encode.ru/attachment.php?attachmentid=1946&amp;d=1336895016" TargetMode="External"/><Relationship Id="rId1601" Type="http://schemas.openxmlformats.org/officeDocument/2006/relationships/hyperlink" Target="https://encode.ru/attachment.php?attachmentid=5102&amp;d=1502725544" TargetMode="External"/><Relationship Id="rId1839" Type="http://schemas.openxmlformats.org/officeDocument/2006/relationships/hyperlink" Target="https://encode.ru/attachment.php?attachmentid=5284&amp;d=1504849543" TargetMode="External"/><Relationship Id="rId182" Type="http://schemas.openxmlformats.org/officeDocument/2006/relationships/hyperlink" Target="https://github.com/Diazonium/AntiZ" TargetMode="External"/><Relationship Id="rId1906" Type="http://schemas.openxmlformats.org/officeDocument/2006/relationships/hyperlink" Target="https://encode.ru/attachment.php?attachmentid=5435&amp;d=1508621284" TargetMode="External"/><Relationship Id="rId487" Type="http://schemas.openxmlformats.org/officeDocument/2006/relationships/hyperlink" Target="ftp://ftp.sac.sk/pub/sac/pack/uharc06b.zip" TargetMode="External"/><Relationship Id="rId694" Type="http://schemas.openxmlformats.org/officeDocument/2006/relationships/hyperlink" Target="http://www.winace.com/" TargetMode="External"/><Relationship Id="rId347" Type="http://schemas.openxmlformats.org/officeDocument/2006/relationships/hyperlink" Target="http://www.un4seen.com/mo3.html" TargetMode="External"/><Relationship Id="rId999" Type="http://schemas.openxmlformats.org/officeDocument/2006/relationships/hyperlink" Target="http://heartofcomp.altervista.org/packet1.9.zip" TargetMode="External"/><Relationship Id="rId1184" Type="http://schemas.openxmlformats.org/officeDocument/2006/relationships/hyperlink" Target="https://github.com/schnaader/precomp-cpp/releases/download/v0.4.5/precomp.zip" TargetMode="External"/><Relationship Id="rId554" Type="http://schemas.openxmlformats.org/officeDocument/2006/relationships/hyperlink" Target="http://encode.ru/attachment.php?attachmentid=2361&amp;d=1371506860" TargetMode="External"/><Relationship Id="rId761" Type="http://schemas.openxmlformats.org/officeDocument/2006/relationships/hyperlink" Target="https://github.com/google/brotli" TargetMode="External"/><Relationship Id="rId859" Type="http://schemas.openxmlformats.org/officeDocument/2006/relationships/hyperlink" Target="http://encode.ru/attachment.php?attachmentid=2361&amp;d=1371506860" TargetMode="External"/><Relationship Id="rId1391" Type="http://schemas.openxmlformats.org/officeDocument/2006/relationships/hyperlink" Target="http://www.nanozip.net/" TargetMode="External"/><Relationship Id="rId1489" Type="http://schemas.openxmlformats.org/officeDocument/2006/relationships/hyperlink" Target="ftp://ftp.sac.sk/pub/sac/pack/uharc06b.zip" TargetMode="External"/><Relationship Id="rId1696" Type="http://schemas.openxmlformats.org/officeDocument/2006/relationships/hyperlink" Target="http://www.powerarchiver.com/" TargetMode="External"/><Relationship Id="rId207" Type="http://schemas.openxmlformats.org/officeDocument/2006/relationships/hyperlink" Target="http://www.winace.com/" TargetMode="External"/><Relationship Id="rId414" Type="http://schemas.openxmlformats.org/officeDocument/2006/relationships/hyperlink" Target="http://encode.ru/attachment.php?attachmentid=3211&amp;d=1414109843" TargetMode="External"/><Relationship Id="rId621" Type="http://schemas.openxmlformats.org/officeDocument/2006/relationships/hyperlink" Target="https://drive.google.com/file/d/0ByLIAFlgldSocVB0VmlnNkdfYms/view?usp=sharing" TargetMode="External"/><Relationship Id="rId1044" Type="http://schemas.openxmlformats.org/officeDocument/2006/relationships/hyperlink" Target="http://cs.txstate.edu/~burtscher/research/SPDPcompressor/" TargetMode="External"/><Relationship Id="rId1251" Type="http://schemas.openxmlformats.org/officeDocument/2006/relationships/hyperlink" Target="http://encode.ru/attachment.php?attachmentid=3211&amp;d=1414109843" TargetMode="External"/><Relationship Id="rId1349" Type="http://schemas.openxmlformats.org/officeDocument/2006/relationships/hyperlink" Target="http://www.compression.ru/ds/" TargetMode="External"/><Relationship Id="rId719" Type="http://schemas.openxmlformats.org/officeDocument/2006/relationships/hyperlink" Target="http://encode.ru/attachment.php?attachmentid=4536&amp;d=1468876571" TargetMode="External"/><Relationship Id="rId926" Type="http://schemas.openxmlformats.org/officeDocument/2006/relationships/hyperlink" Target="http://www.7-zip.org/" TargetMode="External"/><Relationship Id="rId1111" Type="http://schemas.openxmlformats.org/officeDocument/2006/relationships/hyperlink" Target="http://ftp.sac.sk/sac/pack/wrar420.exe" TargetMode="External"/><Relationship Id="rId1556" Type="http://schemas.openxmlformats.org/officeDocument/2006/relationships/hyperlink" Target="http://www.compression.ru/ds/" TargetMode="External"/><Relationship Id="rId1763" Type="http://schemas.openxmlformats.org/officeDocument/2006/relationships/hyperlink" Target="https://encode.ru/attachment.php?attachmentid=5122&amp;d=1503087121" TargetMode="External"/><Relationship Id="rId55" Type="http://schemas.openxmlformats.org/officeDocument/2006/relationships/hyperlink" Target="http://www.nanozip.net/" TargetMode="External"/><Relationship Id="rId1209" Type="http://schemas.openxmlformats.org/officeDocument/2006/relationships/hyperlink" Target="http://nishi.dreamhosters.com/u/rawfilt_v1g.rar" TargetMode="External"/><Relationship Id="rId1416" Type="http://schemas.openxmlformats.org/officeDocument/2006/relationships/hyperlink" Target="http://www.winzip.com/" TargetMode="External"/><Relationship Id="rId1623" Type="http://schemas.openxmlformats.org/officeDocument/2006/relationships/hyperlink" Target="https://encode.ru/attachment.php?attachmentid=5131&amp;d=1503168357" TargetMode="External"/><Relationship Id="rId1830" Type="http://schemas.openxmlformats.org/officeDocument/2006/relationships/hyperlink" Target="https://encode.ru/attachment.php?attachmentid=5284&amp;d=1504849543" TargetMode="External"/><Relationship Id="rId271" Type="http://schemas.openxmlformats.org/officeDocument/2006/relationships/hyperlink" Target="http://www.compression.ru/ds/" TargetMode="External"/><Relationship Id="rId131" Type="http://schemas.openxmlformats.org/officeDocument/2006/relationships/hyperlink" Target="http://mattmahoney.net/dc/zpaq.html" TargetMode="External"/><Relationship Id="rId369" Type="http://schemas.openxmlformats.org/officeDocument/2006/relationships/hyperlink" Target="http://freearc.org/" TargetMode="External"/><Relationship Id="rId576" Type="http://schemas.openxmlformats.org/officeDocument/2006/relationships/hyperlink" Target="http://encode.ru/attachment.php?attachmentid=2361&amp;d=1371506860" TargetMode="External"/><Relationship Id="rId783" Type="http://schemas.openxmlformats.org/officeDocument/2006/relationships/hyperlink" Target="http://heartofcomp.altervista.org/packet1.9.zip" TargetMode="External"/><Relationship Id="rId990" Type="http://schemas.openxmlformats.org/officeDocument/2006/relationships/hyperlink" Target="https://github.com/google/brotli" TargetMode="External"/><Relationship Id="rId229" Type="http://schemas.openxmlformats.org/officeDocument/2006/relationships/hyperlink" Target="http://bzip.org/" TargetMode="External"/><Relationship Id="rId436" Type="http://schemas.openxmlformats.org/officeDocument/2006/relationships/hyperlink" Target="http://libbsc.com/" TargetMode="External"/><Relationship Id="rId643" Type="http://schemas.openxmlformats.org/officeDocument/2006/relationships/hyperlink" Target="https://github.com/Cyan4973/zstd" TargetMode="External"/><Relationship Id="rId1066" Type="http://schemas.openxmlformats.org/officeDocument/2006/relationships/hyperlink" Target="http://heartofcomp.altervista.org/zcm093.zip" TargetMode="External"/><Relationship Id="rId1273" Type="http://schemas.openxmlformats.org/officeDocument/2006/relationships/hyperlink" Target="https://github.com/schnaader/precomp-cpp/releases/download/v0.4.5/precomp.zip" TargetMode="External"/><Relationship Id="rId1480" Type="http://schemas.openxmlformats.org/officeDocument/2006/relationships/hyperlink" Target="https://github.com/google/brotli" TargetMode="External"/><Relationship Id="rId850" Type="http://schemas.openxmlformats.org/officeDocument/2006/relationships/hyperlink" Target="http://www.winzip.com/" TargetMode="External"/><Relationship Id="rId948" Type="http://schemas.openxmlformats.org/officeDocument/2006/relationships/hyperlink" Target="https://github.com/Cyan4973/zstd" TargetMode="External"/><Relationship Id="rId1133" Type="http://schemas.openxmlformats.org/officeDocument/2006/relationships/hyperlink" Target="http://encode.ru/attachment.php?attachmentid=4154&amp;d=1457802709" TargetMode="External"/><Relationship Id="rId1578" Type="http://schemas.openxmlformats.org/officeDocument/2006/relationships/hyperlink" Target="https://encode.ru/attachment.php?attachmentid=5102&amp;d=1502725544" TargetMode="External"/><Relationship Id="rId1785" Type="http://schemas.openxmlformats.org/officeDocument/2006/relationships/hyperlink" Target="https://drive.google.com/drive/folders/0B_X1BeQ2TuWibTBmVG90S0k1bVE" TargetMode="External"/><Relationship Id="rId77" Type="http://schemas.openxmlformats.org/officeDocument/2006/relationships/hyperlink" Target="ftp://ftp.sac.sk/pub/sac/pack/uharc06b.zip" TargetMode="External"/><Relationship Id="rId503" Type="http://schemas.openxmlformats.org/officeDocument/2006/relationships/hyperlink" Target="http://www.winzip.com/" TargetMode="External"/><Relationship Id="rId710" Type="http://schemas.openxmlformats.org/officeDocument/2006/relationships/hyperlink" Target="http://encode.ru/attachment.php?attachmentid=4536&amp;d=1468876571" TargetMode="External"/><Relationship Id="rId808" Type="http://schemas.openxmlformats.org/officeDocument/2006/relationships/hyperlink" Target="https://drive.google.com/file/d/0ByLIAFlgldSoYVJPVmZ6cXNtSEE/view?usp=sharing" TargetMode="External"/><Relationship Id="rId1340" Type="http://schemas.openxmlformats.org/officeDocument/2006/relationships/hyperlink" Target="https://drive.google.com/open?id=0B_X1BeQ2TuWiWVFVTnhMSFhiZHM" TargetMode="External"/><Relationship Id="rId1438" Type="http://schemas.openxmlformats.org/officeDocument/2006/relationships/hyperlink" Target="http://encode.ru/attachment.php?attachmentid=1946&amp;d=1336895016" TargetMode="External"/><Relationship Id="rId1645" Type="http://schemas.openxmlformats.org/officeDocument/2006/relationships/hyperlink" Target="https://encode.ru/attachment.php?attachmentid=5131&amp;d=1503168357" TargetMode="External"/><Relationship Id="rId1200" Type="http://schemas.openxmlformats.org/officeDocument/2006/relationships/hyperlink" Target="http://nishi.dreamhosters.com/u/rawfilt_v1g.rar" TargetMode="External"/><Relationship Id="rId1852" Type="http://schemas.openxmlformats.org/officeDocument/2006/relationships/hyperlink" Target="https://encode.ru/attachment.php?attachmentid=5284&amp;d=1504849543" TargetMode="External"/><Relationship Id="rId1505" Type="http://schemas.openxmlformats.org/officeDocument/2006/relationships/hyperlink" Target="http://www.rarlabs.com/" TargetMode="External"/><Relationship Id="rId1712" Type="http://schemas.openxmlformats.org/officeDocument/2006/relationships/hyperlink" Target="https://encode.ru/attachment.php?attachmentid=5122&amp;d=1503087121" TargetMode="External"/><Relationship Id="rId293" Type="http://schemas.openxmlformats.org/officeDocument/2006/relationships/hyperlink" Target="http://nishi.dreamhosters.com/u/reflate_v0c1.rar" TargetMode="External"/><Relationship Id="rId153" Type="http://schemas.openxmlformats.org/officeDocument/2006/relationships/hyperlink" Target="https://github.com/Diazonium/AntiZ" TargetMode="External"/><Relationship Id="rId360" Type="http://schemas.openxmlformats.org/officeDocument/2006/relationships/hyperlink" Target="http://libbsc.com/" TargetMode="External"/><Relationship Id="rId598" Type="http://schemas.openxmlformats.org/officeDocument/2006/relationships/hyperlink" Target="https://drive.google.com/file/d/0ByLIAFlgldSocFJ1Ynk0aXJad0U/view?usp=sharing" TargetMode="External"/><Relationship Id="rId220" Type="http://schemas.openxmlformats.org/officeDocument/2006/relationships/hyperlink" Target="http://www.7-zip.org/" TargetMode="External"/><Relationship Id="rId458" Type="http://schemas.openxmlformats.org/officeDocument/2006/relationships/hyperlink" Target="http://bzip.org/" TargetMode="External"/><Relationship Id="rId665" Type="http://schemas.openxmlformats.org/officeDocument/2006/relationships/hyperlink" Target="https://github.com/hxim/paq8px" TargetMode="External"/><Relationship Id="rId872" Type="http://schemas.openxmlformats.org/officeDocument/2006/relationships/hyperlink" Target="http://www.nanozip.net/" TargetMode="External"/><Relationship Id="rId1088" Type="http://schemas.openxmlformats.org/officeDocument/2006/relationships/hyperlink" Target="http://ftp.sac.sk/sac/pack/wrar420.exe" TargetMode="External"/><Relationship Id="rId1295" Type="http://schemas.openxmlformats.org/officeDocument/2006/relationships/hyperlink" Target="http://bzip.org/" TargetMode="External"/><Relationship Id="rId318" Type="http://schemas.openxmlformats.org/officeDocument/2006/relationships/hyperlink" Target="http://schnaader.info/precomp.php" TargetMode="External"/><Relationship Id="rId525" Type="http://schemas.openxmlformats.org/officeDocument/2006/relationships/hyperlink" Target="http://libbsc.com/" TargetMode="External"/><Relationship Id="rId732" Type="http://schemas.openxmlformats.org/officeDocument/2006/relationships/hyperlink" Target="http://heartofcomp.altervista.org/packet1.9.zip" TargetMode="External"/><Relationship Id="rId1155" Type="http://schemas.openxmlformats.org/officeDocument/2006/relationships/hyperlink" Target="http://encode.ru/attachment.php?attachmentid=4154&amp;d=1457802709" TargetMode="External"/><Relationship Id="rId1362" Type="http://schemas.openxmlformats.org/officeDocument/2006/relationships/hyperlink" Target="http://encode.ru/attachment.php?attachmentid=4536&amp;d=1468876571" TargetMode="External"/><Relationship Id="rId99" Type="http://schemas.openxmlformats.org/officeDocument/2006/relationships/hyperlink" Target="http://encode.ru/attachment.php?attachmentid=1501&amp;d=1298990074" TargetMode="External"/><Relationship Id="rId1015" Type="http://schemas.openxmlformats.org/officeDocument/2006/relationships/hyperlink" Target="http://www.winzip.com/" TargetMode="External"/><Relationship Id="rId1222" Type="http://schemas.openxmlformats.org/officeDocument/2006/relationships/hyperlink" Target="http://nishi.dreamhosters.com/u/rawfilt_v1g.rar" TargetMode="External"/><Relationship Id="rId1667" Type="http://schemas.openxmlformats.org/officeDocument/2006/relationships/hyperlink" Target="https://encode.ru/attachment.php?attachmentid=5122&amp;d=1503087121" TargetMode="External"/><Relationship Id="rId1874" Type="http://schemas.openxmlformats.org/officeDocument/2006/relationships/hyperlink" Target="https://encode.ru/attachment.php?attachmentid=5435&amp;d=1508621284" TargetMode="External"/><Relationship Id="rId469" Type="http://schemas.openxmlformats.org/officeDocument/2006/relationships/hyperlink" Target="http://www.emit.jp/dgca/dgca_e.html" TargetMode="External"/><Relationship Id="rId676" Type="http://schemas.openxmlformats.org/officeDocument/2006/relationships/hyperlink" Target="https://github.com/hxim/paq8px" TargetMode="External"/><Relationship Id="rId883" Type="http://schemas.openxmlformats.org/officeDocument/2006/relationships/hyperlink" Target="http://www.winace.com/" TargetMode="External"/><Relationship Id="rId1099" Type="http://schemas.openxmlformats.org/officeDocument/2006/relationships/hyperlink" Target="http://ftp.sac.sk/sac/pack/wrar420.exe" TargetMode="External"/><Relationship Id="rId1527" Type="http://schemas.openxmlformats.org/officeDocument/2006/relationships/hyperlink" Target="https://github.com/Cyan4973/zstd" TargetMode="External"/><Relationship Id="rId1734" Type="http://schemas.openxmlformats.org/officeDocument/2006/relationships/hyperlink" Target="https://drive.google.com/drive/folders/0B_X1BeQ2TuWibTBmVG90S0k1bVE" TargetMode="External"/><Relationship Id="rId26" Type="http://schemas.openxmlformats.org/officeDocument/2006/relationships/hyperlink" Target="http://encode.ru/attachment.php?attachmentid=3211&amp;d=1414109843" TargetMode="External"/><Relationship Id="rId231" Type="http://schemas.openxmlformats.org/officeDocument/2006/relationships/hyperlink" Target="http://encode.ru/attachment.php?attachmentid=1946&amp;d=1336895016" TargetMode="External"/><Relationship Id="rId329" Type="http://schemas.openxmlformats.org/officeDocument/2006/relationships/hyperlink" Target="http://www.emit.jp/dgca/dgca_e.html" TargetMode="External"/><Relationship Id="rId536" Type="http://schemas.openxmlformats.org/officeDocument/2006/relationships/hyperlink" Target="http://www.nanozip.net/" TargetMode="External"/><Relationship Id="rId1166" Type="http://schemas.openxmlformats.org/officeDocument/2006/relationships/hyperlink" Target="https://github.com/schnaader/precomp-cpp/releases/download/v0.4.5/precomp.zip" TargetMode="External"/><Relationship Id="rId1373" Type="http://schemas.openxmlformats.org/officeDocument/2006/relationships/hyperlink" Target="https://drive.google.com/open?id=0B_X1BeQ2TuWiWVFVTnhMSFhiZHM" TargetMode="External"/><Relationship Id="rId175" Type="http://schemas.openxmlformats.org/officeDocument/2006/relationships/hyperlink" Target="http://www.nanozip.net/" TargetMode="External"/><Relationship Id="rId743" Type="http://schemas.openxmlformats.org/officeDocument/2006/relationships/hyperlink" Target="https://github.com/google/brotli" TargetMode="External"/><Relationship Id="rId950" Type="http://schemas.openxmlformats.org/officeDocument/2006/relationships/hyperlink" Target="https://github.com/Cyan4973/zstd" TargetMode="External"/><Relationship Id="rId1026" Type="http://schemas.openxmlformats.org/officeDocument/2006/relationships/hyperlink" Target="https://drive.google.com/file/d/0ByLIAFlgldSoYk85eFBMODkxTFU/view?usp=sharing" TargetMode="External"/><Relationship Id="rId1580" Type="http://schemas.openxmlformats.org/officeDocument/2006/relationships/hyperlink" Target="https://encode.ru/attachment.php?attachmentid=5102&amp;d=1502725544" TargetMode="External"/><Relationship Id="rId1678" Type="http://schemas.openxmlformats.org/officeDocument/2006/relationships/hyperlink" Target="http://www.powerarchiver.com/" TargetMode="External"/><Relationship Id="rId1801" Type="http://schemas.openxmlformats.org/officeDocument/2006/relationships/hyperlink" Target="http://www.powerarchiver.com/" TargetMode="External"/><Relationship Id="rId1885" Type="http://schemas.openxmlformats.org/officeDocument/2006/relationships/hyperlink" Target="https://encode.ru/attachment.php?attachmentid=5435&amp;d=1508621284" TargetMode="External"/><Relationship Id="rId382" Type="http://schemas.openxmlformats.org/officeDocument/2006/relationships/hyperlink" Target="http://libbsc.com/" TargetMode="External"/><Relationship Id="rId603" Type="http://schemas.openxmlformats.org/officeDocument/2006/relationships/hyperlink" Target="https://drive.google.com/file/d/0ByLIAFlgldSoYzBaLVp1Q2c5UTg/view?usp=sharing" TargetMode="External"/><Relationship Id="rId687" Type="http://schemas.openxmlformats.org/officeDocument/2006/relationships/hyperlink" Target="http://nishi.dreamhosters.com/u/reflate_v0c1.rar" TargetMode="External"/><Relationship Id="rId810" Type="http://schemas.openxmlformats.org/officeDocument/2006/relationships/hyperlink" Target="https://github.com/hxim/paq8px" TargetMode="External"/><Relationship Id="rId908" Type="http://schemas.openxmlformats.org/officeDocument/2006/relationships/hyperlink" Target="http://freearc.org/" TargetMode="External"/><Relationship Id="rId1233" Type="http://schemas.openxmlformats.org/officeDocument/2006/relationships/hyperlink" Target="http://encode.ru/attachment.php?attachmentid=4648&amp;d=1474214539" TargetMode="External"/><Relationship Id="rId1440" Type="http://schemas.openxmlformats.org/officeDocument/2006/relationships/hyperlink" Target="http://encode.ru/attachment.php?attachmentid=3211&amp;d=1414109843" TargetMode="External"/><Relationship Id="rId1538" Type="http://schemas.openxmlformats.org/officeDocument/2006/relationships/hyperlink" Target="http://encode.ru/attachment.php?attachmentid=4661&amp;d=1474958346" TargetMode="External"/><Relationship Id="rId242" Type="http://schemas.openxmlformats.org/officeDocument/2006/relationships/hyperlink" Target="http://www.winace.com/" TargetMode="External"/><Relationship Id="rId894" Type="http://schemas.openxmlformats.org/officeDocument/2006/relationships/hyperlink" Target="http://encode.ru/attachment.php?attachmentid=1946&amp;d=1336895016" TargetMode="External"/><Relationship Id="rId1177" Type="http://schemas.openxmlformats.org/officeDocument/2006/relationships/hyperlink" Target="https://github.com/schnaader/precomp-cpp/releases/download/v0.4.5/precomp.zip" TargetMode="External"/><Relationship Id="rId1300" Type="http://schemas.openxmlformats.org/officeDocument/2006/relationships/hyperlink" Target="http://rawzor.com/rawzor/" TargetMode="External"/><Relationship Id="rId1745" Type="http://schemas.openxmlformats.org/officeDocument/2006/relationships/hyperlink" Target="https://encode.ru/attachment.php?attachmentid=5122&amp;d=1503087121" TargetMode="External"/><Relationship Id="rId37" Type="http://schemas.openxmlformats.org/officeDocument/2006/relationships/hyperlink" Target="http://encode.ru/attachment.php?attachmentid=1946&amp;d=1336895016" TargetMode="External"/><Relationship Id="rId102" Type="http://schemas.openxmlformats.org/officeDocument/2006/relationships/hyperlink" Target="http://encode.ru/attachment.php?attachmentid=3211&amp;d=1414109843" TargetMode="External"/><Relationship Id="rId547" Type="http://schemas.openxmlformats.org/officeDocument/2006/relationships/hyperlink" Target="http://schnaader.info/precomp.php" TargetMode="External"/><Relationship Id="rId754" Type="http://schemas.openxmlformats.org/officeDocument/2006/relationships/hyperlink" Target="http://heartofcomp.altervista.org/packet1.9.zip" TargetMode="External"/><Relationship Id="rId961" Type="http://schemas.openxmlformats.org/officeDocument/2006/relationships/hyperlink" Target="https://github.com/Cyan4973/zstd" TargetMode="External"/><Relationship Id="rId1384" Type="http://schemas.openxmlformats.org/officeDocument/2006/relationships/hyperlink" Target="http://www.emit.jp/dgca/dgca_e.html" TargetMode="External"/><Relationship Id="rId1591" Type="http://schemas.openxmlformats.org/officeDocument/2006/relationships/hyperlink" Target="https://encode.ru/attachment.php?attachmentid=5102&amp;d=1502725544" TargetMode="External"/><Relationship Id="rId1605" Type="http://schemas.openxmlformats.org/officeDocument/2006/relationships/hyperlink" Target="https://encode.ru/attachment.php?attachmentid=5102&amp;d=1502725544" TargetMode="External"/><Relationship Id="rId1689" Type="http://schemas.openxmlformats.org/officeDocument/2006/relationships/hyperlink" Target="https://drive.google.com/drive/folders/0B_X1BeQ2TuWibTBmVG90S0k1bVE" TargetMode="External"/><Relationship Id="rId1812" Type="http://schemas.openxmlformats.org/officeDocument/2006/relationships/hyperlink" Target="https://encode.ru/attachment.php?attachmentid=5247&amp;d=1504524157" TargetMode="External"/><Relationship Id="rId90" Type="http://schemas.openxmlformats.org/officeDocument/2006/relationships/hyperlink" Target="http://libbsc.com/" TargetMode="External"/><Relationship Id="rId186" Type="http://schemas.openxmlformats.org/officeDocument/2006/relationships/hyperlink" Target="http://encode.ru/attachment.php?attachmentid=3211&amp;d=1414109843" TargetMode="External"/><Relationship Id="rId393" Type="http://schemas.openxmlformats.org/officeDocument/2006/relationships/hyperlink" Target="http://www.compression.ru/ds/" TargetMode="External"/><Relationship Id="rId407" Type="http://schemas.openxmlformats.org/officeDocument/2006/relationships/hyperlink" Target="http://www.compression.ru/ds/" TargetMode="External"/><Relationship Id="rId614" Type="http://schemas.openxmlformats.org/officeDocument/2006/relationships/hyperlink" Target="https://drive.google.com/file/d/0ByLIAFlgldSocFZ1bVdFQ3A0WXc/view?usp=sharing" TargetMode="External"/><Relationship Id="rId821" Type="http://schemas.openxmlformats.org/officeDocument/2006/relationships/hyperlink" Target="http://www.7-zip.org/" TargetMode="External"/><Relationship Id="rId1037" Type="http://schemas.openxmlformats.org/officeDocument/2006/relationships/hyperlink" Target="http://www.7-zip.org/" TargetMode="External"/><Relationship Id="rId1244" Type="http://schemas.openxmlformats.org/officeDocument/2006/relationships/hyperlink" Target="https://drive.google.com/open?id=0B_X1BeQ2TuWiWVFVTnhMSFhiZHM" TargetMode="External"/><Relationship Id="rId1451" Type="http://schemas.openxmlformats.org/officeDocument/2006/relationships/hyperlink" Target="http://libbsc.com/" TargetMode="External"/><Relationship Id="rId1896" Type="http://schemas.openxmlformats.org/officeDocument/2006/relationships/hyperlink" Target="https://encode.ru/attachment.php?attachmentid=5435&amp;d=1508621284" TargetMode="External"/><Relationship Id="rId253" Type="http://schemas.openxmlformats.org/officeDocument/2006/relationships/hyperlink" Target="http://encode.ru/attachment.php?attachmentid=1501&amp;d=1298990074" TargetMode="External"/><Relationship Id="rId460" Type="http://schemas.openxmlformats.org/officeDocument/2006/relationships/hyperlink" Target="http://www.winzip.com/" TargetMode="External"/><Relationship Id="rId698" Type="http://schemas.openxmlformats.org/officeDocument/2006/relationships/hyperlink" Target="http://bzip.org/" TargetMode="External"/><Relationship Id="rId919" Type="http://schemas.openxmlformats.org/officeDocument/2006/relationships/hyperlink" Target="https://drive.google.com/file/d/0ByLIAFlgldSoWkc3cjJkemo5ZHc/view?usp=sharing" TargetMode="External"/><Relationship Id="rId1090" Type="http://schemas.openxmlformats.org/officeDocument/2006/relationships/hyperlink" Target="http://ftp.sac.sk/sac/pack/wrar420.exe" TargetMode="External"/><Relationship Id="rId1104" Type="http://schemas.openxmlformats.org/officeDocument/2006/relationships/hyperlink" Target="http://ftp.sac.sk/sac/pack/wrar420.exe" TargetMode="External"/><Relationship Id="rId1311" Type="http://schemas.openxmlformats.org/officeDocument/2006/relationships/hyperlink" Target="http://www.nanozip.net/" TargetMode="External"/><Relationship Id="rId1549" Type="http://schemas.openxmlformats.org/officeDocument/2006/relationships/hyperlink" Target="http://encode.ru/attachment.php?attachmentid=4661&amp;d=1474958346" TargetMode="External"/><Relationship Id="rId1756" Type="http://schemas.openxmlformats.org/officeDocument/2006/relationships/hyperlink" Target="http://www.powerarchiver.com/" TargetMode="External"/><Relationship Id="rId48" Type="http://schemas.openxmlformats.org/officeDocument/2006/relationships/hyperlink" Target="http://schnaader.info/precomp.php" TargetMode="External"/><Relationship Id="rId113" Type="http://schemas.openxmlformats.org/officeDocument/2006/relationships/hyperlink" Target="http://encode.ru/attachment.php?attachmentid=3211&amp;d=1414109843" TargetMode="External"/><Relationship Id="rId320" Type="http://schemas.openxmlformats.org/officeDocument/2006/relationships/hyperlink" Target="http://bzip.org/" TargetMode="External"/><Relationship Id="rId558" Type="http://schemas.openxmlformats.org/officeDocument/2006/relationships/hyperlink" Target="http://www.emit.jp/dgca/dgca_e.html" TargetMode="External"/><Relationship Id="rId765" Type="http://schemas.openxmlformats.org/officeDocument/2006/relationships/hyperlink" Target="https://github.com/google/brotli" TargetMode="External"/><Relationship Id="rId972" Type="http://schemas.openxmlformats.org/officeDocument/2006/relationships/hyperlink" Target="http://nishi.dreamhosters.com/u/reflate_v0c1.rar" TargetMode="External"/><Relationship Id="rId1188" Type="http://schemas.openxmlformats.org/officeDocument/2006/relationships/hyperlink" Target="https://github.com/schnaader/precomp-cpp/releases/download/v0.4.5/precomp.zip" TargetMode="External"/><Relationship Id="rId1395" Type="http://schemas.openxmlformats.org/officeDocument/2006/relationships/hyperlink" Target="http://encode.ru/attachment.php?attachmentid=3211&amp;d=1414109843" TargetMode="External"/><Relationship Id="rId1409" Type="http://schemas.openxmlformats.org/officeDocument/2006/relationships/hyperlink" Target="http://encode.ru/attachment.php?attachmentid=4154&amp;d=1457802709" TargetMode="External"/><Relationship Id="rId1616" Type="http://schemas.openxmlformats.org/officeDocument/2006/relationships/hyperlink" Target="https://encode.ru/attachment.php?attachmentid=5131&amp;d=1503168357" TargetMode="External"/><Relationship Id="rId1823" Type="http://schemas.openxmlformats.org/officeDocument/2006/relationships/hyperlink" Target="https://encode.ru/attachment.php?attachmentid=5284&amp;d=1504849543" TargetMode="External"/><Relationship Id="rId197" Type="http://schemas.openxmlformats.org/officeDocument/2006/relationships/hyperlink" Target="http://www.nanozip.net/" TargetMode="External"/><Relationship Id="rId418" Type="http://schemas.openxmlformats.org/officeDocument/2006/relationships/hyperlink" Target="http://freearc.org/" TargetMode="External"/><Relationship Id="rId625" Type="http://schemas.openxmlformats.org/officeDocument/2006/relationships/hyperlink" Target="https://github.com/Cyan4973/zstd" TargetMode="External"/><Relationship Id="rId832" Type="http://schemas.openxmlformats.org/officeDocument/2006/relationships/hyperlink" Target="https://github.com/Cyan4973/zstd" TargetMode="External"/><Relationship Id="rId1048" Type="http://schemas.openxmlformats.org/officeDocument/2006/relationships/hyperlink" Target="http://rawzor.com/rawzor/" TargetMode="External"/><Relationship Id="rId1255" Type="http://schemas.openxmlformats.org/officeDocument/2006/relationships/hyperlink" Target="http://encode.ru/attachment.php?attachmentid=1501&amp;d=1298990074" TargetMode="External"/><Relationship Id="rId1462" Type="http://schemas.openxmlformats.org/officeDocument/2006/relationships/hyperlink" Target="http://www.winace.com/" TargetMode="External"/><Relationship Id="rId264" Type="http://schemas.openxmlformats.org/officeDocument/2006/relationships/hyperlink" Target="http://libbsc.com/" TargetMode="External"/><Relationship Id="rId471" Type="http://schemas.openxmlformats.org/officeDocument/2006/relationships/hyperlink" Target="http://bzip.org/" TargetMode="External"/><Relationship Id="rId1115" Type="http://schemas.openxmlformats.org/officeDocument/2006/relationships/hyperlink" Target="http://ftp.sac.sk/sac/pack/wrar420.exe" TargetMode="External"/><Relationship Id="rId1322" Type="http://schemas.openxmlformats.org/officeDocument/2006/relationships/hyperlink" Target="http://www.winace.com/" TargetMode="External"/><Relationship Id="rId1767" Type="http://schemas.openxmlformats.org/officeDocument/2006/relationships/hyperlink" Target="https://drive.google.com/drive/folders/0B_X1BeQ2TuWibTBmVG90S0k1bVE" TargetMode="External"/><Relationship Id="rId59" Type="http://schemas.openxmlformats.org/officeDocument/2006/relationships/hyperlink" Target="http://code.google.com/p/lzham/" TargetMode="External"/><Relationship Id="rId124" Type="http://schemas.openxmlformats.org/officeDocument/2006/relationships/hyperlink" Target="http://freearc.org/" TargetMode="External"/><Relationship Id="rId569" Type="http://schemas.openxmlformats.org/officeDocument/2006/relationships/hyperlink" Target="http://encode.ru/attachment.php?attachmentid=2361&amp;d=1371506860" TargetMode="External"/><Relationship Id="rId776" Type="http://schemas.openxmlformats.org/officeDocument/2006/relationships/hyperlink" Target="http://heartofcomp.altervista.org/packet1.9.zip" TargetMode="External"/><Relationship Id="rId983" Type="http://schemas.openxmlformats.org/officeDocument/2006/relationships/hyperlink" Target="http://heartofcomp.altervista.org/packet1.9.zip" TargetMode="External"/><Relationship Id="rId1199" Type="http://schemas.openxmlformats.org/officeDocument/2006/relationships/hyperlink" Target="http://nishi.dreamhosters.com/u/rawfilt_v1g.rar" TargetMode="External"/><Relationship Id="rId1627" Type="http://schemas.openxmlformats.org/officeDocument/2006/relationships/hyperlink" Target="https://encode.ru/attachment.php?attachmentid=5131&amp;d=1503168357" TargetMode="External"/><Relationship Id="rId1834" Type="http://schemas.openxmlformats.org/officeDocument/2006/relationships/hyperlink" Target="https://encode.ru/attachment.php?attachmentid=5284&amp;d=1504849543" TargetMode="External"/><Relationship Id="rId331" Type="http://schemas.openxmlformats.org/officeDocument/2006/relationships/hyperlink" Target="http://openmpt.org/download" TargetMode="External"/><Relationship Id="rId429" Type="http://schemas.openxmlformats.org/officeDocument/2006/relationships/hyperlink" Target="http://www.7-zip.org/" TargetMode="External"/><Relationship Id="rId636" Type="http://schemas.openxmlformats.org/officeDocument/2006/relationships/hyperlink" Target="https://github.com/Cyan4973/zstd" TargetMode="External"/><Relationship Id="rId1059" Type="http://schemas.openxmlformats.org/officeDocument/2006/relationships/hyperlink" Target="http://heartofcomp.altervista.org/zcm093.zip" TargetMode="External"/><Relationship Id="rId1266" Type="http://schemas.openxmlformats.org/officeDocument/2006/relationships/hyperlink" Target="http://encode.ru/attachment.php?attachmentid=2361&amp;d=1371506860" TargetMode="External"/><Relationship Id="rId1473" Type="http://schemas.openxmlformats.org/officeDocument/2006/relationships/hyperlink" Target="http://heartofcomp.altervista.org/packet1.9.zip" TargetMode="External"/><Relationship Id="rId843" Type="http://schemas.openxmlformats.org/officeDocument/2006/relationships/hyperlink" Target="http://encode.ru/attachment.php?attachmentid=3211&amp;d=1414109843" TargetMode="External"/><Relationship Id="rId1126" Type="http://schemas.openxmlformats.org/officeDocument/2006/relationships/hyperlink" Target="http://encode.ru/attachment.php?attachmentid=4154&amp;d=1457802709" TargetMode="External"/><Relationship Id="rId1680" Type="http://schemas.openxmlformats.org/officeDocument/2006/relationships/hyperlink" Target="https://drive.google.com/drive/folders/0B_X1BeQ2TuWibTBmVG90S0k1bVE" TargetMode="External"/><Relationship Id="rId1778" Type="http://schemas.openxmlformats.org/officeDocument/2006/relationships/hyperlink" Target="https://encode.ru/attachment.php?attachmentid=5122&amp;d=1503087121" TargetMode="External"/><Relationship Id="rId1901" Type="http://schemas.openxmlformats.org/officeDocument/2006/relationships/hyperlink" Target="https://encode.ru/attachment.php?attachmentid=5435&amp;d=1508621284" TargetMode="External"/><Relationship Id="rId275" Type="http://schemas.openxmlformats.org/officeDocument/2006/relationships/hyperlink" Target="http://schnaader.info/precomp.php" TargetMode="External"/><Relationship Id="rId482" Type="http://schemas.openxmlformats.org/officeDocument/2006/relationships/hyperlink" Target="http://heartofcomp.altervista.org/zcm092.zip" TargetMode="External"/><Relationship Id="rId703" Type="http://schemas.openxmlformats.org/officeDocument/2006/relationships/hyperlink" Target="https://github.com/fhanau/Efficient-Compression-Tool" TargetMode="External"/><Relationship Id="rId910" Type="http://schemas.openxmlformats.org/officeDocument/2006/relationships/hyperlink" Target="http://libbsc.com/" TargetMode="External"/><Relationship Id="rId1333" Type="http://schemas.openxmlformats.org/officeDocument/2006/relationships/hyperlink" Target="http://rawzor.com/rawzor/" TargetMode="External"/><Relationship Id="rId1540" Type="http://schemas.openxmlformats.org/officeDocument/2006/relationships/hyperlink" Target="http://encode.ru/attachment.php?attachmentid=4661&amp;d=1474958346" TargetMode="External"/><Relationship Id="rId1638" Type="http://schemas.openxmlformats.org/officeDocument/2006/relationships/hyperlink" Target="https://encode.ru/attachment.php?attachmentid=5131&amp;d=1503168357" TargetMode="External"/><Relationship Id="rId135" Type="http://schemas.openxmlformats.org/officeDocument/2006/relationships/hyperlink" Target="http://www.rarlabs.com/" TargetMode="External"/><Relationship Id="rId342" Type="http://schemas.openxmlformats.org/officeDocument/2006/relationships/hyperlink" Target="http://bzip.org/" TargetMode="External"/><Relationship Id="rId787" Type="http://schemas.openxmlformats.org/officeDocument/2006/relationships/hyperlink" Target="http://encode.ru/attachment.php?attachmentid=3211&amp;d=1414109843" TargetMode="External"/><Relationship Id="rId994" Type="http://schemas.openxmlformats.org/officeDocument/2006/relationships/hyperlink" Target="http://heartofcomp.altervista.org/packet1.9.zip" TargetMode="External"/><Relationship Id="rId1400" Type="http://schemas.openxmlformats.org/officeDocument/2006/relationships/hyperlink" Target="http://encode.ru/attachment.php?attachmentid=4154&amp;d=1457802709" TargetMode="External"/><Relationship Id="rId1845" Type="http://schemas.openxmlformats.org/officeDocument/2006/relationships/hyperlink" Target="https://encode.ru/attachment.php?attachmentid=5284&amp;d=1504849543" TargetMode="External"/><Relationship Id="rId202" Type="http://schemas.openxmlformats.org/officeDocument/2006/relationships/hyperlink" Target="http://code.google.com/p/lzham/" TargetMode="External"/><Relationship Id="rId647" Type="http://schemas.openxmlformats.org/officeDocument/2006/relationships/hyperlink" Target="https://github.com/Cyan4973/zstd" TargetMode="External"/><Relationship Id="rId854" Type="http://schemas.openxmlformats.org/officeDocument/2006/relationships/hyperlink" Target="http://freearc.org/" TargetMode="External"/><Relationship Id="rId1277" Type="http://schemas.openxmlformats.org/officeDocument/2006/relationships/hyperlink" Target="http://encode.ru/attachment.php?attachmentid=3211&amp;d=1414109843" TargetMode="External"/><Relationship Id="rId1484" Type="http://schemas.openxmlformats.org/officeDocument/2006/relationships/hyperlink" Target="http://www.rarlabs.com/" TargetMode="External"/><Relationship Id="rId1691" Type="http://schemas.openxmlformats.org/officeDocument/2006/relationships/hyperlink" Target="https://encode.ru/attachment.php?attachmentid=5122&amp;d=1503087121" TargetMode="External"/><Relationship Id="rId1705" Type="http://schemas.openxmlformats.org/officeDocument/2006/relationships/hyperlink" Target="http://www.powerarchiver.com/" TargetMode="External"/><Relationship Id="rId1912" Type="http://schemas.openxmlformats.org/officeDocument/2006/relationships/image" Target="../media/image2.png"/><Relationship Id="rId286" Type="http://schemas.openxmlformats.org/officeDocument/2006/relationships/hyperlink" Target="https://github.com/Diazonium/AntiZ" TargetMode="External"/><Relationship Id="rId493" Type="http://schemas.openxmlformats.org/officeDocument/2006/relationships/hyperlink" Target="http://schnaader.info/precomp.php" TargetMode="External"/><Relationship Id="rId507" Type="http://schemas.openxmlformats.org/officeDocument/2006/relationships/hyperlink" Target="http://libbsc.com/" TargetMode="External"/><Relationship Id="rId714" Type="http://schemas.openxmlformats.org/officeDocument/2006/relationships/hyperlink" Target="http://encode.ru/attachment.php?attachmentid=4536&amp;d=1468876571" TargetMode="External"/><Relationship Id="rId921" Type="http://schemas.openxmlformats.org/officeDocument/2006/relationships/hyperlink" Target="http://nishi.dreamhosters.com/u/reflate_v0c1.rar" TargetMode="External"/><Relationship Id="rId1137" Type="http://schemas.openxmlformats.org/officeDocument/2006/relationships/hyperlink" Target="http://encode.ru/attachment.php?attachmentid=4154&amp;d=1457802709" TargetMode="External"/><Relationship Id="rId1344" Type="http://schemas.openxmlformats.org/officeDocument/2006/relationships/hyperlink" Target="http://www.nanozip.net/" TargetMode="External"/><Relationship Id="rId1551" Type="http://schemas.openxmlformats.org/officeDocument/2006/relationships/hyperlink" Target="http://encode.ru/attachment.php?attachmentid=4661&amp;d=1474958346" TargetMode="External"/><Relationship Id="rId1789" Type="http://schemas.openxmlformats.org/officeDocument/2006/relationships/hyperlink" Target="http://www.powerarchiver.com/" TargetMode="External"/><Relationship Id="rId50" Type="http://schemas.openxmlformats.org/officeDocument/2006/relationships/hyperlink" Target="http://www.nanozip.net/" TargetMode="External"/><Relationship Id="rId146" Type="http://schemas.openxmlformats.org/officeDocument/2006/relationships/hyperlink" Target="http://ftp.sac.sk/sac/pack/wrar420.exe" TargetMode="External"/><Relationship Id="rId353" Type="http://schemas.openxmlformats.org/officeDocument/2006/relationships/hyperlink" Target="http://nishi.dreamhosters.com/u/reflate_v0c1.rar" TargetMode="External"/><Relationship Id="rId560" Type="http://schemas.openxmlformats.org/officeDocument/2006/relationships/hyperlink" Target="http://encode.ru/attachment.php?attachmentid=3211&amp;d=1414109843" TargetMode="External"/><Relationship Id="rId798" Type="http://schemas.openxmlformats.org/officeDocument/2006/relationships/hyperlink" Target="http://schnaader.info/precomp.php" TargetMode="External"/><Relationship Id="rId1190" Type="http://schemas.openxmlformats.org/officeDocument/2006/relationships/hyperlink" Target="https://github.com/schnaader/precomp-cpp/releases/download/v0.4.5/precomp.zip" TargetMode="External"/><Relationship Id="rId1204" Type="http://schemas.openxmlformats.org/officeDocument/2006/relationships/hyperlink" Target="http://nishi.dreamhosters.com/u/rawfilt_v1g.rar" TargetMode="External"/><Relationship Id="rId1411" Type="http://schemas.openxmlformats.org/officeDocument/2006/relationships/hyperlink" Target="http://encode.ru/attachment.php?attachmentid=3211&amp;d=1414109843" TargetMode="External"/><Relationship Id="rId1649" Type="http://schemas.openxmlformats.org/officeDocument/2006/relationships/hyperlink" Target="https://encode.ru/attachment.php?attachmentid=5131&amp;d=1503168357" TargetMode="External"/><Relationship Id="rId1856" Type="http://schemas.openxmlformats.org/officeDocument/2006/relationships/hyperlink" Target="https://encode.ru/attachment.php?attachmentid=5284&amp;d=1504849543" TargetMode="External"/><Relationship Id="rId213" Type="http://schemas.openxmlformats.org/officeDocument/2006/relationships/hyperlink" Target="http://encode.ru/attachment.php?attachmentid=1946&amp;d=1336895016" TargetMode="External"/><Relationship Id="rId420" Type="http://schemas.openxmlformats.org/officeDocument/2006/relationships/hyperlink" Target="http://libbsc.com/" TargetMode="External"/><Relationship Id="rId658" Type="http://schemas.openxmlformats.org/officeDocument/2006/relationships/hyperlink" Target="https://github.com/hxim/paq8px" TargetMode="External"/><Relationship Id="rId865" Type="http://schemas.openxmlformats.org/officeDocument/2006/relationships/hyperlink" Target="http://encode.ru/attachment.php?attachmentid=1946&amp;d=1336895016" TargetMode="External"/><Relationship Id="rId1050" Type="http://schemas.openxmlformats.org/officeDocument/2006/relationships/hyperlink" Target="http://heartofcomp.altervista.org/zcm093.zip" TargetMode="External"/><Relationship Id="rId1288" Type="http://schemas.openxmlformats.org/officeDocument/2006/relationships/hyperlink" Target="http://www.winzip.com/" TargetMode="External"/><Relationship Id="rId1495" Type="http://schemas.openxmlformats.org/officeDocument/2006/relationships/hyperlink" Target="http://encode.ru/attachment.php?attachmentid=1946&amp;d=1336895016" TargetMode="External"/><Relationship Id="rId1509" Type="http://schemas.openxmlformats.org/officeDocument/2006/relationships/hyperlink" Target="http://www.rarlabs.com/" TargetMode="External"/><Relationship Id="rId1716" Type="http://schemas.openxmlformats.org/officeDocument/2006/relationships/hyperlink" Target="https://drive.google.com/drive/folders/0B_X1BeQ2TuWibTBmVG90S0k1bVE" TargetMode="External"/><Relationship Id="rId297" Type="http://schemas.openxmlformats.org/officeDocument/2006/relationships/hyperlink" Target="http://www.7-zip.org/" TargetMode="External"/><Relationship Id="rId518" Type="http://schemas.openxmlformats.org/officeDocument/2006/relationships/hyperlink" Target="http://www.nanozip.net/" TargetMode="External"/><Relationship Id="rId725" Type="http://schemas.openxmlformats.org/officeDocument/2006/relationships/hyperlink" Target="http://encode.ru/attachment.php?attachmentid=4536&amp;d=1468876571" TargetMode="External"/><Relationship Id="rId932" Type="http://schemas.openxmlformats.org/officeDocument/2006/relationships/hyperlink" Target="http://www.emit.jp/dgca/dgca_e.html" TargetMode="External"/><Relationship Id="rId1148" Type="http://schemas.openxmlformats.org/officeDocument/2006/relationships/hyperlink" Target="http://encode.ru/attachment.php?attachmentid=4154&amp;d=1457802709" TargetMode="External"/><Relationship Id="rId1355" Type="http://schemas.openxmlformats.org/officeDocument/2006/relationships/hyperlink" Target="http://freearc.org/" TargetMode="External"/><Relationship Id="rId1562" Type="http://schemas.openxmlformats.org/officeDocument/2006/relationships/hyperlink" Target="http://www.compression.ru/ds/" TargetMode="External"/><Relationship Id="rId157" Type="http://schemas.openxmlformats.org/officeDocument/2006/relationships/hyperlink" Target="http://encode.ru/attachment.php?attachmentid=3211&amp;d=1414109843" TargetMode="External"/><Relationship Id="rId364" Type="http://schemas.openxmlformats.org/officeDocument/2006/relationships/hyperlink" Target="http://schnaader.info/precomp.php" TargetMode="External"/><Relationship Id="rId1008" Type="http://schemas.openxmlformats.org/officeDocument/2006/relationships/hyperlink" Target="http://www.compression.ru/ds/" TargetMode="External"/><Relationship Id="rId1215" Type="http://schemas.openxmlformats.org/officeDocument/2006/relationships/hyperlink" Target="http://nishi.dreamhosters.com/u/rawfilt_v1g.rar" TargetMode="External"/><Relationship Id="rId1422" Type="http://schemas.openxmlformats.org/officeDocument/2006/relationships/hyperlink" Target="http://www.rarlabs.com/" TargetMode="External"/><Relationship Id="rId1867" Type="http://schemas.openxmlformats.org/officeDocument/2006/relationships/hyperlink" Target="https://github.com/hxim/paq8px" TargetMode="External"/><Relationship Id="rId61" Type="http://schemas.openxmlformats.org/officeDocument/2006/relationships/hyperlink" Target="http://code.google.com/p/lzham/" TargetMode="External"/><Relationship Id="rId571" Type="http://schemas.openxmlformats.org/officeDocument/2006/relationships/hyperlink" Target="http://encode.ru/attachment.php?attachmentid=2361&amp;d=1371506860" TargetMode="External"/><Relationship Id="rId669" Type="http://schemas.openxmlformats.org/officeDocument/2006/relationships/hyperlink" Target="https://github.com/hxim/paq8px" TargetMode="External"/><Relationship Id="rId876" Type="http://schemas.openxmlformats.org/officeDocument/2006/relationships/hyperlink" Target="http://nishi.dreamhosters.com/u/reflate_v0c1.rar" TargetMode="External"/><Relationship Id="rId1299" Type="http://schemas.openxmlformats.org/officeDocument/2006/relationships/hyperlink" Target="http://heartofcomp.altervista.org/packet1.9.zip" TargetMode="External"/><Relationship Id="rId1727" Type="http://schemas.openxmlformats.org/officeDocument/2006/relationships/hyperlink" Target="https://encode.ru/attachment.php?attachmentid=5122&amp;d=1503087121" TargetMode="External"/><Relationship Id="rId19" Type="http://schemas.openxmlformats.org/officeDocument/2006/relationships/hyperlink" Target="http://encode.ru/attachment.php?attachmentid=3211&amp;d=1414109843" TargetMode="External"/><Relationship Id="rId224" Type="http://schemas.openxmlformats.org/officeDocument/2006/relationships/hyperlink" Target="http://www.winace.com/" TargetMode="External"/><Relationship Id="rId431" Type="http://schemas.openxmlformats.org/officeDocument/2006/relationships/hyperlink" Target="http://www.winzip.com/" TargetMode="External"/><Relationship Id="rId529" Type="http://schemas.openxmlformats.org/officeDocument/2006/relationships/hyperlink" Target="http://schnaader.info/precomp.php" TargetMode="External"/><Relationship Id="rId736" Type="http://schemas.openxmlformats.org/officeDocument/2006/relationships/hyperlink" Target="http://heartofcomp.altervista.org/packet1.9.zip" TargetMode="External"/><Relationship Id="rId1061" Type="http://schemas.openxmlformats.org/officeDocument/2006/relationships/hyperlink" Target="http://heartofcomp.altervista.org/zcm093.zip" TargetMode="External"/><Relationship Id="rId1159" Type="http://schemas.openxmlformats.org/officeDocument/2006/relationships/hyperlink" Target="https://github.com/schnaader/precomp-cpp/releases/download/v0.4.5/precomp.zip" TargetMode="External"/><Relationship Id="rId1366" Type="http://schemas.openxmlformats.org/officeDocument/2006/relationships/hyperlink" Target="http://ftp.sac.sk/sac/pack/wrar420.exe" TargetMode="External"/><Relationship Id="rId168" Type="http://schemas.openxmlformats.org/officeDocument/2006/relationships/hyperlink" Target="http://www.winace.com/" TargetMode="External"/><Relationship Id="rId943" Type="http://schemas.openxmlformats.org/officeDocument/2006/relationships/hyperlink" Target="https://github.com/Cyan4973/zstd" TargetMode="External"/><Relationship Id="rId1019" Type="http://schemas.openxmlformats.org/officeDocument/2006/relationships/hyperlink" Target="http://freearc.org/" TargetMode="External"/><Relationship Id="rId1573" Type="http://schemas.openxmlformats.org/officeDocument/2006/relationships/hyperlink" Target="https://encode.ru/attachment.php?attachmentid=5102&amp;d=1502725544" TargetMode="External"/><Relationship Id="rId1780" Type="http://schemas.openxmlformats.org/officeDocument/2006/relationships/hyperlink" Target="http://www.powerarchiver.com/" TargetMode="External"/><Relationship Id="rId1878" Type="http://schemas.openxmlformats.org/officeDocument/2006/relationships/hyperlink" Target="https://encode.ru/attachment.php?attachmentid=5435&amp;d=1508621284" TargetMode="External"/><Relationship Id="rId72" Type="http://schemas.openxmlformats.org/officeDocument/2006/relationships/hyperlink" Target="http://www.winzip.com/" TargetMode="External"/><Relationship Id="rId375" Type="http://schemas.openxmlformats.org/officeDocument/2006/relationships/hyperlink" Target="http://www.compression.ru/ds/" TargetMode="External"/><Relationship Id="rId582" Type="http://schemas.openxmlformats.org/officeDocument/2006/relationships/hyperlink" Target="http://encode.ru/attachment.php?attachmentid=2361&amp;d=1371506860" TargetMode="External"/><Relationship Id="rId803" Type="http://schemas.openxmlformats.org/officeDocument/2006/relationships/hyperlink" Target="ftp://ftp.sac.sk/pub/sac/pack/uharc06b.zip" TargetMode="External"/><Relationship Id="rId1226" Type="http://schemas.openxmlformats.org/officeDocument/2006/relationships/hyperlink" Target="http://nishi.dreamhosters.com/u/rawfilt_v1g.rar" TargetMode="External"/><Relationship Id="rId1433" Type="http://schemas.openxmlformats.org/officeDocument/2006/relationships/hyperlink" Target="http://encode.ru/attachment.php?attachmentid=2361&amp;d=1371506860" TargetMode="External"/><Relationship Id="rId1640" Type="http://schemas.openxmlformats.org/officeDocument/2006/relationships/hyperlink" Target="https://encode.ru/attachment.php?attachmentid=5131&amp;d=1503168357" TargetMode="External"/><Relationship Id="rId1738" Type="http://schemas.openxmlformats.org/officeDocument/2006/relationships/hyperlink" Target="http://www.powerarchiver.com/" TargetMode="External"/><Relationship Id="rId3" Type="http://schemas.openxmlformats.org/officeDocument/2006/relationships/hyperlink" Target="https://github.com/schnaader/precomp-cpp/tree/master/contrib/packmp3" TargetMode="External"/><Relationship Id="rId235" Type="http://schemas.openxmlformats.org/officeDocument/2006/relationships/hyperlink" Target="http://www.rarlabs.com/" TargetMode="External"/><Relationship Id="rId442" Type="http://schemas.openxmlformats.org/officeDocument/2006/relationships/hyperlink" Target="http://encode.ru/attachment.php?attachmentid=3211&amp;d=1414109843" TargetMode="External"/><Relationship Id="rId887" Type="http://schemas.openxmlformats.org/officeDocument/2006/relationships/hyperlink" Target="http://bzip.org/" TargetMode="External"/><Relationship Id="rId1072" Type="http://schemas.openxmlformats.org/officeDocument/2006/relationships/hyperlink" Target="http://heartofcomp.altervista.org/zcm093.zip" TargetMode="External"/><Relationship Id="rId1500" Type="http://schemas.openxmlformats.org/officeDocument/2006/relationships/hyperlink" Target="http://www.rarlabs.com/" TargetMode="External"/><Relationship Id="rId302" Type="http://schemas.openxmlformats.org/officeDocument/2006/relationships/hyperlink" Target="http://www.emit.jp/dgca/dgca_e.html" TargetMode="External"/><Relationship Id="rId747" Type="http://schemas.openxmlformats.org/officeDocument/2006/relationships/hyperlink" Target="https://github.com/google/brotli" TargetMode="External"/><Relationship Id="rId954" Type="http://schemas.openxmlformats.org/officeDocument/2006/relationships/hyperlink" Target="https://github.com/Cyan4973/zstd" TargetMode="External"/><Relationship Id="rId1377" Type="http://schemas.openxmlformats.org/officeDocument/2006/relationships/hyperlink" Target="http://encode.ru/attachment.php?attachmentid=2361&amp;d=1371506860" TargetMode="External"/><Relationship Id="rId1584" Type="http://schemas.openxmlformats.org/officeDocument/2006/relationships/hyperlink" Target="https://encode.ru/attachment.php?attachmentid=5102&amp;d=1502725544" TargetMode="External"/><Relationship Id="rId1791" Type="http://schemas.openxmlformats.org/officeDocument/2006/relationships/hyperlink" Target="https://drive.google.com/drive/folders/0B_X1BeQ2TuWibTBmVG90S0k1bVE" TargetMode="External"/><Relationship Id="rId1805" Type="http://schemas.openxmlformats.org/officeDocument/2006/relationships/hyperlink" Target="https://encode.ru/attachment.php?attachmentid=5247&amp;d=1504524157" TargetMode="External"/><Relationship Id="rId83" Type="http://schemas.openxmlformats.org/officeDocument/2006/relationships/hyperlink" Target="http://freearc.org/" TargetMode="External"/><Relationship Id="rId179" Type="http://schemas.openxmlformats.org/officeDocument/2006/relationships/hyperlink" Target="http://encode.ru/attachment.php?attachmentid=3211&amp;d=1414109843" TargetMode="External"/><Relationship Id="rId386" Type="http://schemas.openxmlformats.org/officeDocument/2006/relationships/hyperlink" Target="http://bzip.org/" TargetMode="External"/><Relationship Id="rId593" Type="http://schemas.openxmlformats.org/officeDocument/2006/relationships/hyperlink" Target="https://drive.google.com/file/d/0ByLIAFlgldSoUHpyc2JGaUxMRDg/view?usp=sharing" TargetMode="External"/><Relationship Id="rId607" Type="http://schemas.openxmlformats.org/officeDocument/2006/relationships/hyperlink" Target="https://drive.google.com/file/d/0ByLIAFlgldSoNVhrVC0tV2d4VE0/view?usp=sharing" TargetMode="External"/><Relationship Id="rId814" Type="http://schemas.openxmlformats.org/officeDocument/2006/relationships/hyperlink" Target="https://drive.google.com/file/d/0ByLIAFlgldSoWkc3cjJkemo5ZHc/view?usp=sharing" TargetMode="External"/><Relationship Id="rId1237" Type="http://schemas.openxmlformats.org/officeDocument/2006/relationships/hyperlink" Target="https://drive.google.com/open?id=0B_X1BeQ2TuWiWVFVTnhMSFhiZHM" TargetMode="External"/><Relationship Id="rId1444" Type="http://schemas.openxmlformats.org/officeDocument/2006/relationships/hyperlink" Target="http://ftp.sac.sk/sac/pack/wrar420.exe" TargetMode="External"/><Relationship Id="rId1651" Type="http://schemas.openxmlformats.org/officeDocument/2006/relationships/hyperlink" Target="https://drive.google.com/open?id=0B_X1BeQ2TuWickxKMGVnQzFzTUE" TargetMode="External"/><Relationship Id="rId1889" Type="http://schemas.openxmlformats.org/officeDocument/2006/relationships/hyperlink" Target="https://encode.ru/attachment.php?attachmentid=5435&amp;d=1508621284" TargetMode="External"/><Relationship Id="rId246" Type="http://schemas.openxmlformats.org/officeDocument/2006/relationships/hyperlink" Target="http://libbsc.com/" TargetMode="External"/><Relationship Id="rId453" Type="http://schemas.openxmlformats.org/officeDocument/2006/relationships/hyperlink" Target="http://libbsc.com/" TargetMode="External"/><Relationship Id="rId660" Type="http://schemas.openxmlformats.org/officeDocument/2006/relationships/hyperlink" Target="https://github.com/hxim/paq8px" TargetMode="External"/><Relationship Id="rId898" Type="http://schemas.openxmlformats.org/officeDocument/2006/relationships/hyperlink" Target="http://img.photographyblog.com/reviews/nikon_d3x/sample_images/nikon_d3x_08.nef" TargetMode="External"/><Relationship Id="rId1083" Type="http://schemas.openxmlformats.org/officeDocument/2006/relationships/hyperlink" Target="http://heartofcomp.altervista.org/zcm093.zip" TargetMode="External"/><Relationship Id="rId1290" Type="http://schemas.openxmlformats.org/officeDocument/2006/relationships/hyperlink" Target="http://www.winace.com/" TargetMode="External"/><Relationship Id="rId1304" Type="http://schemas.openxmlformats.org/officeDocument/2006/relationships/hyperlink" Target="https://github.com/schnaader/precomp-cpp/releases/download/v0.4.5/precomp.zip" TargetMode="External"/><Relationship Id="rId1511" Type="http://schemas.openxmlformats.org/officeDocument/2006/relationships/hyperlink" Target="http://www.rarlabs.com/" TargetMode="External"/><Relationship Id="rId1749" Type="http://schemas.openxmlformats.org/officeDocument/2006/relationships/hyperlink" Target="https://drive.google.com/drive/folders/0B_X1BeQ2TuWibTBmVG90S0k1bVE" TargetMode="External"/><Relationship Id="rId106" Type="http://schemas.openxmlformats.org/officeDocument/2006/relationships/hyperlink" Target="http://melodymachine.com/sfark.htm" TargetMode="External"/><Relationship Id="rId313" Type="http://schemas.openxmlformats.org/officeDocument/2006/relationships/hyperlink" Target="http://www.winace.com/" TargetMode="External"/><Relationship Id="rId758" Type="http://schemas.openxmlformats.org/officeDocument/2006/relationships/hyperlink" Target="http://heartofcomp.altervista.org/packet1.9.zip" TargetMode="External"/><Relationship Id="rId965" Type="http://schemas.openxmlformats.org/officeDocument/2006/relationships/hyperlink" Target="https://github.com/Cyan4973/zstd" TargetMode="External"/><Relationship Id="rId1150" Type="http://schemas.openxmlformats.org/officeDocument/2006/relationships/hyperlink" Target="http://encode.ru/attachment.php?attachmentid=4154&amp;d=1457802709" TargetMode="External"/><Relationship Id="rId1388" Type="http://schemas.openxmlformats.org/officeDocument/2006/relationships/hyperlink" Target="http://encode.ru/attachment.php?attachmentid=2361&amp;d=1371506860" TargetMode="External"/><Relationship Id="rId1595" Type="http://schemas.openxmlformats.org/officeDocument/2006/relationships/hyperlink" Target="https://encode.ru/attachment.php?attachmentid=5102&amp;d=1502725544" TargetMode="External"/><Relationship Id="rId1609" Type="http://schemas.openxmlformats.org/officeDocument/2006/relationships/hyperlink" Target="https://encode.ru/attachment.php?attachmentid=5120&amp;d=1503000126" TargetMode="External"/><Relationship Id="rId1816" Type="http://schemas.openxmlformats.org/officeDocument/2006/relationships/hyperlink" Target="https://encode.ru/attachment.php?attachmentid=5247&amp;d=1504524157" TargetMode="External"/><Relationship Id="rId10" Type="http://schemas.openxmlformats.org/officeDocument/2006/relationships/hyperlink" Target="http://encode.ru/attachment.php?attachmentid=1501&amp;d=1298990074" TargetMode="External"/><Relationship Id="rId94" Type="http://schemas.openxmlformats.org/officeDocument/2006/relationships/hyperlink" Target="http://bzip.org/" TargetMode="External"/><Relationship Id="rId397" Type="http://schemas.openxmlformats.org/officeDocument/2006/relationships/hyperlink" Target="http://www.rarlabs.com/" TargetMode="External"/><Relationship Id="rId520" Type="http://schemas.openxmlformats.org/officeDocument/2006/relationships/hyperlink" Target="http://www.winzip.com/" TargetMode="External"/><Relationship Id="rId618" Type="http://schemas.openxmlformats.org/officeDocument/2006/relationships/hyperlink" Target="https://drive.google.com/file/d/0ByLIAFlgldSoZ3BLVkFhSlFXVFU/view?usp=sharing" TargetMode="External"/><Relationship Id="rId825" Type="http://schemas.openxmlformats.org/officeDocument/2006/relationships/hyperlink" Target="http://www.winace.com/" TargetMode="External"/><Relationship Id="rId1248" Type="http://schemas.openxmlformats.org/officeDocument/2006/relationships/hyperlink" Target="http://encode.ru/attachment.php?attachmentid=4536&amp;d=1468876571" TargetMode="External"/><Relationship Id="rId1455" Type="http://schemas.openxmlformats.org/officeDocument/2006/relationships/hyperlink" Target="http://code.google.com/p/lzham/" TargetMode="External"/><Relationship Id="rId1662" Type="http://schemas.openxmlformats.org/officeDocument/2006/relationships/hyperlink" Target="https://drive.google.com/open?id=0B_X1BeQ2TuWickxKMGVnQzFzTUE" TargetMode="External"/><Relationship Id="rId257" Type="http://schemas.openxmlformats.org/officeDocument/2006/relationships/hyperlink" Target="http://www.7-zip.org/" TargetMode="External"/><Relationship Id="rId464" Type="http://schemas.openxmlformats.org/officeDocument/2006/relationships/hyperlink" Target="http://www.nanozip.net/" TargetMode="External"/><Relationship Id="rId1010" Type="http://schemas.openxmlformats.org/officeDocument/2006/relationships/hyperlink" Target="http://encode.ru/attachment.php?attachmentid=1501&amp;d=1298990074" TargetMode="External"/><Relationship Id="rId1094" Type="http://schemas.openxmlformats.org/officeDocument/2006/relationships/hyperlink" Target="http://ftp.sac.sk/sac/pack/wrar420.exe" TargetMode="External"/><Relationship Id="rId1108" Type="http://schemas.openxmlformats.org/officeDocument/2006/relationships/hyperlink" Target="http://ftp.sac.sk/sac/pack/wrar420.exe" TargetMode="External"/><Relationship Id="rId1315" Type="http://schemas.openxmlformats.org/officeDocument/2006/relationships/hyperlink" Target="http://nishi.dreamhosters.com/u/reflate_v0c1.rar" TargetMode="External"/><Relationship Id="rId117" Type="http://schemas.openxmlformats.org/officeDocument/2006/relationships/hyperlink" Target="http://www.nanozip.net/" TargetMode="External"/><Relationship Id="rId671" Type="http://schemas.openxmlformats.org/officeDocument/2006/relationships/hyperlink" Target="https://github.com/hxim/paq8px" TargetMode="External"/><Relationship Id="rId769" Type="http://schemas.openxmlformats.org/officeDocument/2006/relationships/hyperlink" Target="https://github.com/google/brotli" TargetMode="External"/><Relationship Id="rId976" Type="http://schemas.openxmlformats.org/officeDocument/2006/relationships/hyperlink" Target="http://heartofcomp.altervista.org/packet1.9.zip" TargetMode="External"/><Relationship Id="rId1399" Type="http://schemas.openxmlformats.org/officeDocument/2006/relationships/hyperlink" Target="http://ftp.sac.sk/sac/pack/wrar420.exe" TargetMode="External"/><Relationship Id="rId324" Type="http://schemas.openxmlformats.org/officeDocument/2006/relationships/hyperlink" Target="http://www.renoise.com/" TargetMode="External"/><Relationship Id="rId531" Type="http://schemas.openxmlformats.org/officeDocument/2006/relationships/hyperlink" Target="http://libbsc.com/" TargetMode="External"/><Relationship Id="rId629" Type="http://schemas.openxmlformats.org/officeDocument/2006/relationships/hyperlink" Target="https://github.com/Cyan4973/zstd" TargetMode="External"/><Relationship Id="rId1161" Type="http://schemas.openxmlformats.org/officeDocument/2006/relationships/hyperlink" Target="https://github.com/schnaader/precomp-cpp/releases/download/v0.4.5/precomp.zip" TargetMode="External"/><Relationship Id="rId1259" Type="http://schemas.openxmlformats.org/officeDocument/2006/relationships/hyperlink" Target="http://www.winzip.com/" TargetMode="External"/><Relationship Id="rId1466" Type="http://schemas.openxmlformats.org/officeDocument/2006/relationships/hyperlink" Target="http://www.7-zip.org/" TargetMode="External"/><Relationship Id="rId836" Type="http://schemas.openxmlformats.org/officeDocument/2006/relationships/hyperlink" Target="http://encode.ru/attachment.php?attachmentid=1946&amp;d=1336895016" TargetMode="External"/><Relationship Id="rId1021" Type="http://schemas.openxmlformats.org/officeDocument/2006/relationships/hyperlink" Target="http://libbsc.com/" TargetMode="External"/><Relationship Id="rId1119" Type="http://schemas.openxmlformats.org/officeDocument/2006/relationships/hyperlink" Target="http://ftp.sac.sk/sac/pack/wrar420.exe" TargetMode="External"/><Relationship Id="rId1673" Type="http://schemas.openxmlformats.org/officeDocument/2006/relationships/hyperlink" Target="https://encode.ru/attachment.php?attachmentid=5122&amp;d=1503087121" TargetMode="External"/><Relationship Id="rId1880" Type="http://schemas.openxmlformats.org/officeDocument/2006/relationships/hyperlink" Target="https://encode.ru/attachment.php?attachmentid=5435&amp;d=1508621284" TargetMode="External"/><Relationship Id="rId903" Type="http://schemas.openxmlformats.org/officeDocument/2006/relationships/hyperlink" Target="http://www.7-zip.org/" TargetMode="External"/><Relationship Id="rId1326" Type="http://schemas.openxmlformats.org/officeDocument/2006/relationships/hyperlink" Target="http://bzip.org/" TargetMode="External"/><Relationship Id="rId1533" Type="http://schemas.openxmlformats.org/officeDocument/2006/relationships/hyperlink" Target="https://github.com/Cyan4973/zstd" TargetMode="External"/><Relationship Id="rId1740" Type="http://schemas.openxmlformats.org/officeDocument/2006/relationships/hyperlink" Target="https://drive.google.com/drive/folders/0B_X1BeQ2TuWibTBmVG90S0k1bVE" TargetMode="External"/><Relationship Id="rId32" Type="http://schemas.openxmlformats.org/officeDocument/2006/relationships/hyperlink" Target="http://encode.ru/attachment.php?attachmentid=1946&amp;d=1336895016" TargetMode="External"/><Relationship Id="rId1600" Type="http://schemas.openxmlformats.org/officeDocument/2006/relationships/hyperlink" Target="https://encode.ru/attachment.php?attachmentid=5102&amp;d=1502725544" TargetMode="External"/><Relationship Id="rId1838" Type="http://schemas.openxmlformats.org/officeDocument/2006/relationships/hyperlink" Target="https://encode.ru/attachment.php?attachmentid=5284&amp;d=1504849543" TargetMode="External"/><Relationship Id="rId181" Type="http://schemas.openxmlformats.org/officeDocument/2006/relationships/hyperlink" Target="http://mattmahoney.net/dc/zpaq.html" TargetMode="External"/><Relationship Id="rId1905" Type="http://schemas.openxmlformats.org/officeDocument/2006/relationships/hyperlink" Target="https://encode.ru/attachment.php?attachmentid=5435&amp;d=1508621284" TargetMode="External"/><Relationship Id="rId279" Type="http://schemas.openxmlformats.org/officeDocument/2006/relationships/hyperlink" Target="http://www.winace.com/" TargetMode="External"/><Relationship Id="rId486" Type="http://schemas.openxmlformats.org/officeDocument/2006/relationships/hyperlink" Target="http://www.winzip.com/" TargetMode="External"/><Relationship Id="rId693" Type="http://schemas.openxmlformats.org/officeDocument/2006/relationships/hyperlink" Target="ftp://ftp.sac.sk/pub/sac/pack/uharc06b.zip" TargetMode="External"/><Relationship Id="rId139" Type="http://schemas.openxmlformats.org/officeDocument/2006/relationships/hyperlink" Target="http://schnaader.info/precomp.php" TargetMode="External"/><Relationship Id="rId346" Type="http://schemas.openxmlformats.org/officeDocument/2006/relationships/hyperlink" Target="http://www.emit.jp/dgca/dgca_e.html" TargetMode="External"/><Relationship Id="rId553" Type="http://schemas.openxmlformats.org/officeDocument/2006/relationships/hyperlink" Target="http://encode.ru/attachment.php?attachmentid=1501&amp;d=1298990074" TargetMode="External"/><Relationship Id="rId760" Type="http://schemas.openxmlformats.org/officeDocument/2006/relationships/hyperlink" Target="http://heartofcomp.altervista.org/packet1.9.zip" TargetMode="External"/><Relationship Id="rId998" Type="http://schemas.openxmlformats.org/officeDocument/2006/relationships/hyperlink" Target="https://github.com/google/brotli" TargetMode="External"/><Relationship Id="rId1183" Type="http://schemas.openxmlformats.org/officeDocument/2006/relationships/hyperlink" Target="https://github.com/schnaader/precomp-cpp/releases/download/v0.4.5/precomp.zip" TargetMode="External"/><Relationship Id="rId1390" Type="http://schemas.openxmlformats.org/officeDocument/2006/relationships/hyperlink" Target="https://drive.google.com/file/d/0ByLIAFlgldSoYk85eFBMODkxTFU/view?usp=sharing" TargetMode="External"/><Relationship Id="rId206" Type="http://schemas.openxmlformats.org/officeDocument/2006/relationships/hyperlink" Target="ftp://ftp.sac.sk/pub/sac/pack/uharc06b.zip" TargetMode="External"/><Relationship Id="rId413" Type="http://schemas.openxmlformats.org/officeDocument/2006/relationships/hyperlink" Target="http://www.rarlabs.com/" TargetMode="External"/><Relationship Id="rId858" Type="http://schemas.openxmlformats.org/officeDocument/2006/relationships/hyperlink" Target="http://bzip.org/" TargetMode="External"/><Relationship Id="rId1043" Type="http://schemas.openxmlformats.org/officeDocument/2006/relationships/hyperlink" Target="http://cs.txstate.edu/~burtscher/research/SPDPcompressor/" TargetMode="External"/><Relationship Id="rId1488" Type="http://schemas.openxmlformats.org/officeDocument/2006/relationships/hyperlink" Target="http://www.winzip.com/" TargetMode="External"/><Relationship Id="rId1695" Type="http://schemas.openxmlformats.org/officeDocument/2006/relationships/hyperlink" Target="https://drive.google.com/drive/folders/0B_X1BeQ2TuWibTBmVG90S0k1bVE" TargetMode="External"/><Relationship Id="rId620" Type="http://schemas.openxmlformats.org/officeDocument/2006/relationships/hyperlink" Target="https://drive.google.com/file/d/0ByLIAFlgldSoVW5oNjBMZ3lwcWM/view?usp=sharing" TargetMode="External"/><Relationship Id="rId718" Type="http://schemas.openxmlformats.org/officeDocument/2006/relationships/hyperlink" Target="http://encode.ru/attachment.php?attachmentid=4536&amp;d=1468876571" TargetMode="External"/><Relationship Id="rId925" Type="http://schemas.openxmlformats.org/officeDocument/2006/relationships/hyperlink" Target="http://code.google.com/p/lzham/" TargetMode="External"/><Relationship Id="rId1250" Type="http://schemas.openxmlformats.org/officeDocument/2006/relationships/hyperlink" Target="http://encode.ru/attachment.php?attachmentid=3211&amp;d=1414109843" TargetMode="External"/><Relationship Id="rId1348" Type="http://schemas.openxmlformats.org/officeDocument/2006/relationships/hyperlink" Target="http://code.google.com/p/lzham/" TargetMode="External"/><Relationship Id="rId1555" Type="http://schemas.openxmlformats.org/officeDocument/2006/relationships/hyperlink" Target="http://www.compression.ru/ds/" TargetMode="External"/><Relationship Id="rId1762" Type="http://schemas.openxmlformats.org/officeDocument/2006/relationships/hyperlink" Target="http://www.powerarchiver.com/" TargetMode="External"/><Relationship Id="rId1110" Type="http://schemas.openxmlformats.org/officeDocument/2006/relationships/hyperlink" Target="http://ftp.sac.sk/sac/pack/wrar420.exe" TargetMode="External"/><Relationship Id="rId1208" Type="http://schemas.openxmlformats.org/officeDocument/2006/relationships/hyperlink" Target="http://nishi.dreamhosters.com/u/rawfilt_v1g.rar" TargetMode="External"/><Relationship Id="rId1415" Type="http://schemas.openxmlformats.org/officeDocument/2006/relationships/hyperlink" Target="http://schnaader.info/precomp.php" TargetMode="External"/><Relationship Id="rId54" Type="http://schemas.openxmlformats.org/officeDocument/2006/relationships/hyperlink" Target="http://www.nanozip.net/" TargetMode="External"/><Relationship Id="rId1622" Type="http://schemas.openxmlformats.org/officeDocument/2006/relationships/hyperlink" Target="https://encode.ru/attachment.php?attachmentid=5131&amp;d=1503168357" TargetMode="External"/><Relationship Id="rId270" Type="http://schemas.openxmlformats.org/officeDocument/2006/relationships/hyperlink" Target="http://code.google.com/p/lzham/" TargetMode="External"/><Relationship Id="rId130" Type="http://schemas.openxmlformats.org/officeDocument/2006/relationships/hyperlink" Target="https://github.com/Diazonium/AntiZ" TargetMode="External"/><Relationship Id="rId368" Type="http://schemas.openxmlformats.org/officeDocument/2006/relationships/hyperlink" Target="http://www.rarlabs.com/" TargetMode="External"/><Relationship Id="rId575" Type="http://schemas.openxmlformats.org/officeDocument/2006/relationships/hyperlink" Target="http://encode.ru/attachment.php?attachmentid=2361&amp;d=1371506860" TargetMode="External"/><Relationship Id="rId782" Type="http://schemas.openxmlformats.org/officeDocument/2006/relationships/hyperlink" Target="https://github.com/google/brotli" TargetMode="External"/><Relationship Id="rId228" Type="http://schemas.openxmlformats.org/officeDocument/2006/relationships/hyperlink" Target="http://libbsc.com/" TargetMode="External"/><Relationship Id="rId435" Type="http://schemas.openxmlformats.org/officeDocument/2006/relationships/hyperlink" Target="http://libbsc.com/" TargetMode="External"/><Relationship Id="rId642" Type="http://schemas.openxmlformats.org/officeDocument/2006/relationships/hyperlink" Target="https://github.com/Cyan4973/zstd" TargetMode="External"/><Relationship Id="rId1065" Type="http://schemas.openxmlformats.org/officeDocument/2006/relationships/hyperlink" Target="http://heartofcomp.altervista.org/zcm093.zip" TargetMode="External"/><Relationship Id="rId1272" Type="http://schemas.openxmlformats.org/officeDocument/2006/relationships/hyperlink" Target="http://encode.ru/attachment.php?attachmentid=4154&amp;d=1457802709" TargetMode="External"/><Relationship Id="rId502" Type="http://schemas.openxmlformats.org/officeDocument/2006/relationships/hyperlink" Target="http://www.compression.ru/ds/" TargetMode="External"/><Relationship Id="rId947" Type="http://schemas.openxmlformats.org/officeDocument/2006/relationships/hyperlink" Target="https://github.com/Cyan4973/zstd" TargetMode="External"/><Relationship Id="rId1132" Type="http://schemas.openxmlformats.org/officeDocument/2006/relationships/hyperlink" Target="http://encode.ru/attachment.php?attachmentid=4154&amp;d=1457802709" TargetMode="External"/><Relationship Id="rId1577" Type="http://schemas.openxmlformats.org/officeDocument/2006/relationships/hyperlink" Target="https://encode.ru/attachment.php?attachmentid=5102&amp;d=1502725544" TargetMode="External"/><Relationship Id="rId1784" Type="http://schemas.openxmlformats.org/officeDocument/2006/relationships/hyperlink" Target="https://encode.ru/attachment.php?attachmentid=5122&amp;d=1503087121" TargetMode="External"/><Relationship Id="rId76" Type="http://schemas.openxmlformats.org/officeDocument/2006/relationships/hyperlink" Target="ftp://ftp.sac.sk/pub/sac/pack/uharc06b.zip" TargetMode="External"/><Relationship Id="rId807" Type="http://schemas.openxmlformats.org/officeDocument/2006/relationships/hyperlink" Target="http://encode.ru/attachment.php?attachmentid=2361&amp;d=1371506860" TargetMode="External"/><Relationship Id="rId1437" Type="http://schemas.openxmlformats.org/officeDocument/2006/relationships/hyperlink" Target="http://schnaader.info/precomp.php" TargetMode="External"/><Relationship Id="rId1644" Type="http://schemas.openxmlformats.org/officeDocument/2006/relationships/hyperlink" Target="https://encode.ru/attachment.php?attachmentid=5131&amp;d=1503168357" TargetMode="External"/><Relationship Id="rId1851" Type="http://schemas.openxmlformats.org/officeDocument/2006/relationships/hyperlink" Target="https://encode.ru/attachment.php?attachmentid=5284&amp;d=1504849543" TargetMode="External"/><Relationship Id="rId1504" Type="http://schemas.openxmlformats.org/officeDocument/2006/relationships/hyperlink" Target="http://www.emit.jp/dgca/dgca_e.html" TargetMode="External"/><Relationship Id="rId1711" Type="http://schemas.openxmlformats.org/officeDocument/2006/relationships/hyperlink" Target="http://www.powerarchiver.com/" TargetMode="External"/><Relationship Id="rId292" Type="http://schemas.openxmlformats.org/officeDocument/2006/relationships/hyperlink" Target="http://www.rarlabs.com/" TargetMode="External"/><Relationship Id="rId1809" Type="http://schemas.openxmlformats.org/officeDocument/2006/relationships/hyperlink" Target="https://encode.ru/attachment.php?attachmentid=5247&amp;d=1504524157" TargetMode="External"/><Relationship Id="rId597" Type="http://schemas.openxmlformats.org/officeDocument/2006/relationships/hyperlink" Target="https://drive.google.com/file/d/0ByLIAFlgldSoTnhGUnN5WHJ5YW8/view?usp=sharing" TargetMode="External"/><Relationship Id="rId152" Type="http://schemas.openxmlformats.org/officeDocument/2006/relationships/hyperlink" Target="http://bzip.org/" TargetMode="External"/><Relationship Id="rId457" Type="http://schemas.openxmlformats.org/officeDocument/2006/relationships/hyperlink" Target="http://code.google.com/p/lzham/" TargetMode="External"/><Relationship Id="rId1087" Type="http://schemas.openxmlformats.org/officeDocument/2006/relationships/hyperlink" Target="http://ftp.sac.sk/sac/pack/wrar420.exe" TargetMode="External"/><Relationship Id="rId1294" Type="http://schemas.openxmlformats.org/officeDocument/2006/relationships/hyperlink" Target="http://libbsc.com/" TargetMode="External"/><Relationship Id="rId664" Type="http://schemas.openxmlformats.org/officeDocument/2006/relationships/hyperlink" Target="https://github.com/hxim/paq8px" TargetMode="External"/><Relationship Id="rId871" Type="http://schemas.openxmlformats.org/officeDocument/2006/relationships/hyperlink" Target="http://schnaader.info/precomp.php" TargetMode="External"/><Relationship Id="rId969" Type="http://schemas.openxmlformats.org/officeDocument/2006/relationships/hyperlink" Target="https://github.com/Cyan4973/zstd" TargetMode="External"/><Relationship Id="rId1599" Type="http://schemas.openxmlformats.org/officeDocument/2006/relationships/hyperlink" Target="https://encode.ru/attachment.php?attachmentid=5102&amp;d=1502725544" TargetMode="External"/><Relationship Id="rId317" Type="http://schemas.openxmlformats.org/officeDocument/2006/relationships/hyperlink" Target="http://libbsc.com/" TargetMode="External"/><Relationship Id="rId524" Type="http://schemas.openxmlformats.org/officeDocument/2006/relationships/hyperlink" Target="http://www.emit.jp/dgca/dgca_e.html" TargetMode="External"/><Relationship Id="rId731" Type="http://schemas.openxmlformats.org/officeDocument/2006/relationships/hyperlink" Target="https://github.com/google/brotli" TargetMode="External"/><Relationship Id="rId1154" Type="http://schemas.openxmlformats.org/officeDocument/2006/relationships/hyperlink" Target="http://encode.ru/attachment.php?attachmentid=4154&amp;d=1457802709" TargetMode="External"/><Relationship Id="rId1361" Type="http://schemas.openxmlformats.org/officeDocument/2006/relationships/hyperlink" Target="https://github.com/Cyan4973/zstd" TargetMode="External"/><Relationship Id="rId1459" Type="http://schemas.openxmlformats.org/officeDocument/2006/relationships/hyperlink" Target="http://freearc.org/" TargetMode="External"/><Relationship Id="rId98" Type="http://schemas.openxmlformats.org/officeDocument/2006/relationships/hyperlink" Target="ftp://ftp.sac.sk/pub/sac/pack/uharc06b.zip" TargetMode="External"/><Relationship Id="rId829" Type="http://schemas.openxmlformats.org/officeDocument/2006/relationships/hyperlink" Target="http://libbsc.com/" TargetMode="External"/><Relationship Id="rId1014" Type="http://schemas.openxmlformats.org/officeDocument/2006/relationships/hyperlink" Target="http://www.7-zip.org/" TargetMode="External"/><Relationship Id="rId1221" Type="http://schemas.openxmlformats.org/officeDocument/2006/relationships/hyperlink" Target="http://nishi.dreamhosters.com/u/rawfilt_v1g.rar" TargetMode="External"/><Relationship Id="rId1666" Type="http://schemas.openxmlformats.org/officeDocument/2006/relationships/hyperlink" Target="https://drive.google.com/open?id=0B_X1BeQ2TuWickxKMGVnQzFzTUE" TargetMode="External"/><Relationship Id="rId1873" Type="http://schemas.openxmlformats.org/officeDocument/2006/relationships/hyperlink" Target="https://encode.ru/attachment.php?attachmentid=5435&amp;d=1508621284" TargetMode="External"/><Relationship Id="rId1319" Type="http://schemas.openxmlformats.org/officeDocument/2006/relationships/hyperlink" Target="http://www.winzip.com/" TargetMode="External"/><Relationship Id="rId1526" Type="http://schemas.openxmlformats.org/officeDocument/2006/relationships/hyperlink" Target="https://github.com/Cyan4973/zstd" TargetMode="External"/><Relationship Id="rId1733" Type="http://schemas.openxmlformats.org/officeDocument/2006/relationships/hyperlink" Target="https://encode.ru/attachment.php?attachmentid=5122&amp;d=1503087121" TargetMode="External"/><Relationship Id="rId25" Type="http://schemas.openxmlformats.org/officeDocument/2006/relationships/hyperlink" Target="http://encode.ru/attachment.php?attachmentid=3211&amp;d=1414109843" TargetMode="External"/><Relationship Id="rId1800" Type="http://schemas.openxmlformats.org/officeDocument/2006/relationships/hyperlink" Target="https://drive.google.com/drive/folders/0B_X1BeQ2TuWibTBmVG90S0k1bVE" TargetMode="External"/><Relationship Id="rId174" Type="http://schemas.openxmlformats.org/officeDocument/2006/relationships/hyperlink" Target="https://github.com/Diazonium/AntiZ" TargetMode="External"/><Relationship Id="rId381" Type="http://schemas.openxmlformats.org/officeDocument/2006/relationships/hyperlink" Target="http://libbsc.com/" TargetMode="External"/><Relationship Id="rId241" Type="http://schemas.openxmlformats.org/officeDocument/2006/relationships/hyperlink" Target="http://www.winzip.com/" TargetMode="External"/><Relationship Id="rId479" Type="http://schemas.openxmlformats.org/officeDocument/2006/relationships/hyperlink" Target="http://libbsc.com/" TargetMode="External"/><Relationship Id="rId686" Type="http://schemas.openxmlformats.org/officeDocument/2006/relationships/hyperlink" Target="http://encode.ru/attachment.php?attachmentid=2361&amp;d=1371506860" TargetMode="External"/><Relationship Id="rId893" Type="http://schemas.openxmlformats.org/officeDocument/2006/relationships/hyperlink" Target="http://encode.ru/attachment.php?attachmentid=3211&amp;d=1414109843" TargetMode="External"/><Relationship Id="rId339" Type="http://schemas.openxmlformats.org/officeDocument/2006/relationships/hyperlink" Target="http://freearc.org/" TargetMode="External"/><Relationship Id="rId546" Type="http://schemas.openxmlformats.org/officeDocument/2006/relationships/hyperlink" Target="http://cs.txstate.edu/~burtscher/research/datasets/FPdouble/" TargetMode="External"/><Relationship Id="rId753" Type="http://schemas.openxmlformats.org/officeDocument/2006/relationships/hyperlink" Target="https://github.com/google/brotli" TargetMode="External"/><Relationship Id="rId1176" Type="http://schemas.openxmlformats.org/officeDocument/2006/relationships/hyperlink" Target="https://github.com/schnaader/precomp-cpp/releases/download/v0.4.5/precomp.zip" TargetMode="External"/><Relationship Id="rId1383" Type="http://schemas.openxmlformats.org/officeDocument/2006/relationships/hyperlink" Target="http://freearc.org/" TargetMode="External"/><Relationship Id="rId101" Type="http://schemas.openxmlformats.org/officeDocument/2006/relationships/hyperlink" Target="http://mattmahoney.net/dc/zpaq.html" TargetMode="External"/><Relationship Id="rId406" Type="http://schemas.openxmlformats.org/officeDocument/2006/relationships/hyperlink" Target="http://code.google.com/p/lzham/" TargetMode="External"/><Relationship Id="rId960" Type="http://schemas.openxmlformats.org/officeDocument/2006/relationships/hyperlink" Target="https://github.com/Cyan4973/zstd" TargetMode="External"/><Relationship Id="rId1036" Type="http://schemas.openxmlformats.org/officeDocument/2006/relationships/hyperlink" Target="https://github.com/google/brotli" TargetMode="External"/><Relationship Id="rId1243" Type="http://schemas.openxmlformats.org/officeDocument/2006/relationships/hyperlink" Target="https://drive.google.com/open?id=0B_X1BeQ2TuWiWVFVTnhMSFhiZHM" TargetMode="External"/><Relationship Id="rId1590" Type="http://schemas.openxmlformats.org/officeDocument/2006/relationships/hyperlink" Target="https://encode.ru/attachment.php?attachmentid=5102&amp;d=1502725544" TargetMode="External"/><Relationship Id="rId1688" Type="http://schemas.openxmlformats.org/officeDocument/2006/relationships/hyperlink" Target="https://encode.ru/attachment.php?attachmentid=5122&amp;d=1503087121" TargetMode="External"/><Relationship Id="rId1895" Type="http://schemas.openxmlformats.org/officeDocument/2006/relationships/hyperlink" Target="https://encode.ru/attachment.php?attachmentid=5435&amp;d=1508621284" TargetMode="External"/><Relationship Id="rId613" Type="http://schemas.openxmlformats.org/officeDocument/2006/relationships/hyperlink" Target="https://drive.google.com/file/d/0ByLIAFlgldSoRnNIWFFOczc1RnM/view?usp=sharing" TargetMode="External"/><Relationship Id="rId820" Type="http://schemas.openxmlformats.org/officeDocument/2006/relationships/hyperlink" Target="http://code.google.com/p/lzham/" TargetMode="External"/><Relationship Id="rId918" Type="http://schemas.openxmlformats.org/officeDocument/2006/relationships/hyperlink" Target="http://rawzor.com/rawzor/" TargetMode="External"/><Relationship Id="rId1450" Type="http://schemas.openxmlformats.org/officeDocument/2006/relationships/hyperlink" Target="http://encode.ru/attachment.php?attachmentid=3211&amp;d=1414109843" TargetMode="External"/><Relationship Id="rId1548" Type="http://schemas.openxmlformats.org/officeDocument/2006/relationships/hyperlink" Target="http://encode.ru/attachment.php?attachmentid=4661&amp;d=1474958346" TargetMode="External"/><Relationship Id="rId1755" Type="http://schemas.openxmlformats.org/officeDocument/2006/relationships/hyperlink" Target="https://drive.google.com/drive/folders/0B_X1BeQ2TuWibTBmVG90S0k1bVE" TargetMode="External"/><Relationship Id="rId1103" Type="http://schemas.openxmlformats.org/officeDocument/2006/relationships/hyperlink" Target="http://ftp.sac.sk/sac/pack/wrar420.exe" TargetMode="External"/><Relationship Id="rId1310" Type="http://schemas.openxmlformats.org/officeDocument/2006/relationships/hyperlink" Target="http://schnaader.info/precomp.php" TargetMode="External"/><Relationship Id="rId1408" Type="http://schemas.openxmlformats.org/officeDocument/2006/relationships/hyperlink" Target="https://github.com/schnaader/precomp-cpp/tree/master/contrib/packmp3" TargetMode="External"/><Relationship Id="rId47" Type="http://schemas.openxmlformats.org/officeDocument/2006/relationships/hyperlink" Target="http://schnaader.info/precomp.php" TargetMode="External"/><Relationship Id="rId1615" Type="http://schemas.openxmlformats.org/officeDocument/2006/relationships/hyperlink" Target="https://encode.ru/attachment.php?attachmentid=5131&amp;d=1503168357" TargetMode="External"/><Relationship Id="rId1822" Type="http://schemas.openxmlformats.org/officeDocument/2006/relationships/hyperlink" Target="https://encode.ru/attachment.php?attachmentid=5284&amp;d=1504849543" TargetMode="External"/><Relationship Id="rId196" Type="http://schemas.openxmlformats.org/officeDocument/2006/relationships/hyperlink" Target="http://encode.ru/attachment.php?attachmentid=1946&amp;d=1336895016" TargetMode="External"/><Relationship Id="rId263" Type="http://schemas.openxmlformats.org/officeDocument/2006/relationships/hyperlink" Target="http://www.emit.jp/dgca/dgca_e.html" TargetMode="External"/><Relationship Id="rId470" Type="http://schemas.openxmlformats.org/officeDocument/2006/relationships/hyperlink" Target="http://libbsc.com/" TargetMode="External"/><Relationship Id="rId123" Type="http://schemas.openxmlformats.org/officeDocument/2006/relationships/hyperlink" Target="http://www.winace.com/" TargetMode="External"/><Relationship Id="rId330" Type="http://schemas.openxmlformats.org/officeDocument/2006/relationships/hyperlink" Target="http://psycle.pastnotecut.org/portal.php" TargetMode="External"/><Relationship Id="rId568" Type="http://schemas.openxmlformats.org/officeDocument/2006/relationships/hyperlink" Target="http://encode.ru/attachment.php?attachmentid=2361&amp;d=1371506860" TargetMode="External"/><Relationship Id="rId775" Type="http://schemas.openxmlformats.org/officeDocument/2006/relationships/hyperlink" Target="https://github.com/google/brotli" TargetMode="External"/><Relationship Id="rId982" Type="http://schemas.openxmlformats.org/officeDocument/2006/relationships/hyperlink" Target="https://github.com/google/brotli" TargetMode="External"/><Relationship Id="rId1198" Type="http://schemas.openxmlformats.org/officeDocument/2006/relationships/hyperlink" Target="http://nishi.dreamhosters.com/u/rawfilt_v1g.rar" TargetMode="External"/><Relationship Id="rId428" Type="http://schemas.openxmlformats.org/officeDocument/2006/relationships/hyperlink" Target="http://www.compression.ru/ds/" TargetMode="External"/><Relationship Id="rId635" Type="http://schemas.openxmlformats.org/officeDocument/2006/relationships/hyperlink" Target="https://github.com/Cyan4973/zstd" TargetMode="External"/><Relationship Id="rId842" Type="http://schemas.openxmlformats.org/officeDocument/2006/relationships/hyperlink" Target="http://rawzor.com/rawzor/" TargetMode="External"/><Relationship Id="rId1058" Type="http://schemas.openxmlformats.org/officeDocument/2006/relationships/hyperlink" Target="http://heartofcomp.altervista.org/zcm093.zip" TargetMode="External"/><Relationship Id="rId1265" Type="http://schemas.openxmlformats.org/officeDocument/2006/relationships/hyperlink" Target="http://bzip.org/" TargetMode="External"/><Relationship Id="rId1472" Type="http://schemas.openxmlformats.org/officeDocument/2006/relationships/hyperlink" Target="http://encode.ru/attachment.php?attachmentid=3211&amp;d=1414109843" TargetMode="External"/><Relationship Id="rId702" Type="http://schemas.openxmlformats.org/officeDocument/2006/relationships/hyperlink" Target="https://github.com/schnaader/precomp-cpp/releases/download/v0.4.5/precomp.zip" TargetMode="External"/><Relationship Id="rId1125" Type="http://schemas.openxmlformats.org/officeDocument/2006/relationships/hyperlink" Target="http://encode.ru/attachment.php?attachmentid=4154&amp;d=1457802709" TargetMode="External"/><Relationship Id="rId1332" Type="http://schemas.openxmlformats.org/officeDocument/2006/relationships/hyperlink" Target="http://heartofcomp.altervista.org/packet1.9.zip" TargetMode="External"/><Relationship Id="rId1777" Type="http://schemas.openxmlformats.org/officeDocument/2006/relationships/hyperlink" Target="http://www.powerarchiver.com/" TargetMode="External"/><Relationship Id="rId69" Type="http://schemas.openxmlformats.org/officeDocument/2006/relationships/hyperlink" Target="http://www.winzip.com/" TargetMode="External"/><Relationship Id="rId1637" Type="http://schemas.openxmlformats.org/officeDocument/2006/relationships/hyperlink" Target="https://encode.ru/attachment.php?attachmentid=5131&amp;d=1503168357" TargetMode="External"/><Relationship Id="rId1844" Type="http://schemas.openxmlformats.org/officeDocument/2006/relationships/hyperlink" Target="https://encode.ru/attachment.php?attachmentid=5284&amp;d=1504849543" TargetMode="External"/><Relationship Id="rId1704" Type="http://schemas.openxmlformats.org/officeDocument/2006/relationships/hyperlink" Target="https://drive.google.com/drive/folders/0B_X1BeQ2TuWibTBmVG90S0k1bVE" TargetMode="External"/><Relationship Id="rId285" Type="http://schemas.openxmlformats.org/officeDocument/2006/relationships/hyperlink" Target="https://github.com/Diazonium/AntiZ" TargetMode="External"/><Relationship Id="rId1911" Type="http://schemas.openxmlformats.org/officeDocument/2006/relationships/vmlDrawing" Target="../drawings/vmlDrawing6.vml"/><Relationship Id="rId492" Type="http://schemas.openxmlformats.org/officeDocument/2006/relationships/hyperlink" Target="http://encode.ru/attachment.php?attachmentid=1946&amp;d=1336895016" TargetMode="External"/><Relationship Id="rId797" Type="http://schemas.openxmlformats.org/officeDocument/2006/relationships/hyperlink" Target="http://heartofcomp.altervista.org/zcm092.zip" TargetMode="External"/><Relationship Id="rId145" Type="http://schemas.openxmlformats.org/officeDocument/2006/relationships/hyperlink" Target="ftp://ftp.sac.sk/pub/sac/pack/uharc06b.zip" TargetMode="External"/><Relationship Id="rId352" Type="http://schemas.openxmlformats.org/officeDocument/2006/relationships/hyperlink" Target="http://www.rarlabs.com/" TargetMode="External"/><Relationship Id="rId1287" Type="http://schemas.openxmlformats.org/officeDocument/2006/relationships/hyperlink" Target="http://www.winzip.com/" TargetMode="External"/><Relationship Id="rId212" Type="http://schemas.openxmlformats.org/officeDocument/2006/relationships/hyperlink" Target="http://bzip.org/" TargetMode="External"/><Relationship Id="rId657" Type="http://schemas.openxmlformats.org/officeDocument/2006/relationships/hyperlink" Target="https://github.com/hxim/paq8px" TargetMode="External"/><Relationship Id="rId864" Type="http://schemas.openxmlformats.org/officeDocument/2006/relationships/hyperlink" Target="http://schnaader.info/precomp.php" TargetMode="External"/><Relationship Id="rId1494" Type="http://schemas.openxmlformats.org/officeDocument/2006/relationships/hyperlink" Target="http://encode.ru/attachment.php?attachmentid=2361&amp;d=1371506860" TargetMode="External"/><Relationship Id="rId1799" Type="http://schemas.openxmlformats.org/officeDocument/2006/relationships/hyperlink" Target="https://encode.ru/attachment.php?attachmentid=5122&amp;d=1503087121" TargetMode="External"/><Relationship Id="rId517" Type="http://schemas.openxmlformats.org/officeDocument/2006/relationships/hyperlink" Target="http://encode.ru/attachment.php?attachmentid=3211&amp;d=1414109843" TargetMode="External"/><Relationship Id="rId724" Type="http://schemas.openxmlformats.org/officeDocument/2006/relationships/hyperlink" Target="http://encode.ru/attachment.php?attachmentid=4536&amp;d=1468876571" TargetMode="External"/><Relationship Id="rId931" Type="http://schemas.openxmlformats.org/officeDocument/2006/relationships/hyperlink" Target="http://www.winace.com/" TargetMode="External"/><Relationship Id="rId1147" Type="http://schemas.openxmlformats.org/officeDocument/2006/relationships/hyperlink" Target="http://encode.ru/attachment.php?attachmentid=4154&amp;d=1457802709" TargetMode="External"/><Relationship Id="rId1354" Type="http://schemas.openxmlformats.org/officeDocument/2006/relationships/hyperlink" Target="http://www.winace.com/" TargetMode="External"/><Relationship Id="rId1561" Type="http://schemas.openxmlformats.org/officeDocument/2006/relationships/hyperlink" Target="http://www.compression.ru/ds/" TargetMode="External"/><Relationship Id="rId60" Type="http://schemas.openxmlformats.org/officeDocument/2006/relationships/hyperlink" Target="http://code.google.com/p/lzham/" TargetMode="External"/><Relationship Id="rId1007" Type="http://schemas.openxmlformats.org/officeDocument/2006/relationships/hyperlink" Target="http://nishi.dreamhosters.com/u/reflate_v0c1.rar" TargetMode="External"/><Relationship Id="rId1214" Type="http://schemas.openxmlformats.org/officeDocument/2006/relationships/hyperlink" Target="http://nishi.dreamhosters.com/u/rawfilt_v1g.rar" TargetMode="External"/><Relationship Id="rId1421" Type="http://schemas.openxmlformats.org/officeDocument/2006/relationships/hyperlink" Target="http://www.rawzor.com/" TargetMode="External"/><Relationship Id="rId1659" Type="http://schemas.openxmlformats.org/officeDocument/2006/relationships/hyperlink" Target="https://drive.google.com/open?id=0B_X1BeQ2TuWickxKMGVnQzFzTUE" TargetMode="External"/><Relationship Id="rId1866" Type="http://schemas.openxmlformats.org/officeDocument/2006/relationships/hyperlink" Target="https://github.com/hxim/paq8px" TargetMode="External"/><Relationship Id="rId1519" Type="http://schemas.openxmlformats.org/officeDocument/2006/relationships/hyperlink" Target="http://www.rarlabs.com/" TargetMode="External"/><Relationship Id="rId1726" Type="http://schemas.openxmlformats.org/officeDocument/2006/relationships/hyperlink" Target="http://www.powerarchiver.com/" TargetMode="External"/><Relationship Id="rId18" Type="http://schemas.openxmlformats.org/officeDocument/2006/relationships/hyperlink" Target="http://encode.ru/attachment.php?attachmentid=3211&amp;d=1414109843" TargetMode="External"/><Relationship Id="rId167" Type="http://schemas.openxmlformats.org/officeDocument/2006/relationships/hyperlink" Target="ftp://ftp.sac.sk/pub/sac/pack/uharc06b.zip" TargetMode="External"/><Relationship Id="rId374" Type="http://schemas.openxmlformats.org/officeDocument/2006/relationships/hyperlink" Target="http://code.google.com/p/lzham/" TargetMode="External"/><Relationship Id="rId581" Type="http://schemas.openxmlformats.org/officeDocument/2006/relationships/hyperlink" Target="http://encode.ru/attachment.php?attachmentid=2361&amp;d=1371506860" TargetMode="External"/><Relationship Id="rId234" Type="http://schemas.openxmlformats.org/officeDocument/2006/relationships/hyperlink" Target="http://encode.ru/attachment.php?attachmentid=1501&amp;d=1298990074" TargetMode="External"/><Relationship Id="rId679" Type="http://schemas.openxmlformats.org/officeDocument/2006/relationships/hyperlink" Target="https://github.com/hxim/paq8px" TargetMode="External"/><Relationship Id="rId886" Type="http://schemas.openxmlformats.org/officeDocument/2006/relationships/hyperlink" Target="http://libbsc.com/" TargetMode="External"/><Relationship Id="rId2" Type="http://schemas.openxmlformats.org/officeDocument/2006/relationships/hyperlink" Target="http://audiophilesoft.ru/commandline/mpz/MPZ.7z" TargetMode="External"/><Relationship Id="rId441" Type="http://schemas.openxmlformats.org/officeDocument/2006/relationships/hyperlink" Target="http://www.rarlabs.com/" TargetMode="External"/><Relationship Id="rId539" Type="http://schemas.openxmlformats.org/officeDocument/2006/relationships/hyperlink" Target="ftp://ftp.sac.sk/pub/sac/pack/uharc06b.zip" TargetMode="External"/><Relationship Id="rId746" Type="http://schemas.openxmlformats.org/officeDocument/2006/relationships/hyperlink" Target="http://heartofcomp.altervista.org/packet1.9.zip" TargetMode="External"/><Relationship Id="rId1071" Type="http://schemas.openxmlformats.org/officeDocument/2006/relationships/hyperlink" Target="http://heartofcomp.altervista.org/zcm093.zip" TargetMode="External"/><Relationship Id="rId1169" Type="http://schemas.openxmlformats.org/officeDocument/2006/relationships/hyperlink" Target="https://github.com/schnaader/precomp-cpp/releases/download/v0.4.5/precomp.zip" TargetMode="External"/><Relationship Id="rId1376" Type="http://schemas.openxmlformats.org/officeDocument/2006/relationships/hyperlink" Target="http://www.rawzor.com/" TargetMode="External"/><Relationship Id="rId1583" Type="http://schemas.openxmlformats.org/officeDocument/2006/relationships/hyperlink" Target="https://encode.ru/attachment.php?attachmentid=5102&amp;d=1502725544" TargetMode="External"/><Relationship Id="rId301" Type="http://schemas.openxmlformats.org/officeDocument/2006/relationships/hyperlink" Target="http://freearc.org/" TargetMode="External"/><Relationship Id="rId953" Type="http://schemas.openxmlformats.org/officeDocument/2006/relationships/hyperlink" Target="https://github.com/Cyan4973/zstd" TargetMode="External"/><Relationship Id="rId1029" Type="http://schemas.openxmlformats.org/officeDocument/2006/relationships/hyperlink" Target="https://github.com/schnaader/precomp-cpp" TargetMode="External"/><Relationship Id="rId1236" Type="http://schemas.openxmlformats.org/officeDocument/2006/relationships/hyperlink" Target="http://encode.ru/attachment.php?attachmentid=4648&amp;d=1474214539" TargetMode="External"/><Relationship Id="rId1790" Type="http://schemas.openxmlformats.org/officeDocument/2006/relationships/hyperlink" Target="https://encode.ru/attachment.php?attachmentid=5122&amp;d=1503087121" TargetMode="External"/><Relationship Id="rId1888" Type="http://schemas.openxmlformats.org/officeDocument/2006/relationships/hyperlink" Target="https://encode.ru/attachment.php?attachmentid=5435&amp;d=1508621284" TargetMode="External"/><Relationship Id="rId82" Type="http://schemas.openxmlformats.org/officeDocument/2006/relationships/hyperlink" Target="http://freearc.org/" TargetMode="External"/><Relationship Id="rId606" Type="http://schemas.openxmlformats.org/officeDocument/2006/relationships/hyperlink" Target="https://drive.google.com/file/d/0ByLIAFlgldSoM045bVZPdWt0VFU/view?usp=sharing" TargetMode="External"/><Relationship Id="rId813" Type="http://schemas.openxmlformats.org/officeDocument/2006/relationships/hyperlink" Target="https://drive.google.com/file/d/0ByLIAFlgldSoc05OSkdlWUNJclk/view?usp=sharing" TargetMode="External"/><Relationship Id="rId1443" Type="http://schemas.openxmlformats.org/officeDocument/2006/relationships/hyperlink" Target="http://heartofcomp.altervista.org/zcm093.zip" TargetMode="External"/><Relationship Id="rId1650" Type="http://schemas.openxmlformats.org/officeDocument/2006/relationships/hyperlink" Target="https://encode.ru/attachment.php?attachmentid=5131&amp;d=1503168357" TargetMode="External"/><Relationship Id="rId1748" Type="http://schemas.openxmlformats.org/officeDocument/2006/relationships/hyperlink" Target="https://encode.ru/attachment.php?attachmentid=5122&amp;d=1503087121" TargetMode="External"/><Relationship Id="rId1303" Type="http://schemas.openxmlformats.org/officeDocument/2006/relationships/hyperlink" Target="http://encode.ru/attachment.php?attachmentid=4154&amp;d=1457802709" TargetMode="External"/><Relationship Id="rId1510" Type="http://schemas.openxmlformats.org/officeDocument/2006/relationships/hyperlink" Target="http://www.rarlabs.com/" TargetMode="External"/><Relationship Id="rId1608" Type="http://schemas.openxmlformats.org/officeDocument/2006/relationships/hyperlink" Target="https://encode.ru/attachment.php?attachmentid=5102&amp;d=1502725544" TargetMode="External"/><Relationship Id="rId1815" Type="http://schemas.openxmlformats.org/officeDocument/2006/relationships/hyperlink" Target="https://encode.ru/attachment.php?attachmentid=5247&amp;d=1504524157" TargetMode="External"/><Relationship Id="rId189" Type="http://schemas.openxmlformats.org/officeDocument/2006/relationships/hyperlink" Target="ftp://ftp.sac.sk/pub/sac/pack/uharc06b.zip" TargetMode="External"/><Relationship Id="rId396" Type="http://schemas.openxmlformats.org/officeDocument/2006/relationships/hyperlink" Target="http://www.winzip.com/" TargetMode="External"/><Relationship Id="rId256" Type="http://schemas.openxmlformats.org/officeDocument/2006/relationships/hyperlink" Target="http://www.compression.ru/ds/" TargetMode="External"/><Relationship Id="rId463" Type="http://schemas.openxmlformats.org/officeDocument/2006/relationships/hyperlink" Target="http://schnaader.info/precomp.php" TargetMode="External"/><Relationship Id="rId670" Type="http://schemas.openxmlformats.org/officeDocument/2006/relationships/hyperlink" Target="https://github.com/hxim/paq8px" TargetMode="External"/><Relationship Id="rId1093" Type="http://schemas.openxmlformats.org/officeDocument/2006/relationships/hyperlink" Target="http://ftp.sac.sk/sac/pack/wrar420.exe" TargetMode="External"/><Relationship Id="rId116" Type="http://schemas.openxmlformats.org/officeDocument/2006/relationships/hyperlink" Target="http://schnaader.info/precomp.php" TargetMode="External"/><Relationship Id="rId323" Type="http://schemas.openxmlformats.org/officeDocument/2006/relationships/hyperlink" Target="http://www.winace.com/" TargetMode="External"/><Relationship Id="rId530" Type="http://schemas.openxmlformats.org/officeDocument/2006/relationships/hyperlink" Target="http://www.7-zip.org/" TargetMode="External"/><Relationship Id="rId768" Type="http://schemas.openxmlformats.org/officeDocument/2006/relationships/hyperlink" Target="http://heartofcomp.altervista.org/packet1.9.zip" TargetMode="External"/><Relationship Id="rId975" Type="http://schemas.openxmlformats.org/officeDocument/2006/relationships/hyperlink" Target="https://github.com/google/brotli" TargetMode="External"/><Relationship Id="rId1160" Type="http://schemas.openxmlformats.org/officeDocument/2006/relationships/hyperlink" Target="https://github.com/schnaader/precomp-cpp/releases/download/v0.4.5/precomp.zip" TargetMode="External"/><Relationship Id="rId1398" Type="http://schemas.openxmlformats.org/officeDocument/2006/relationships/hyperlink" Target="http://heartofcomp.altervista.org/zcm093.zip" TargetMode="External"/><Relationship Id="rId628" Type="http://schemas.openxmlformats.org/officeDocument/2006/relationships/hyperlink" Target="https://github.com/Cyan4973/zstd" TargetMode="External"/><Relationship Id="rId835" Type="http://schemas.openxmlformats.org/officeDocument/2006/relationships/hyperlink" Target="http://schnaader.info/precomp.php" TargetMode="External"/><Relationship Id="rId1258" Type="http://schemas.openxmlformats.org/officeDocument/2006/relationships/hyperlink" Target="http://www.7-zip.org/" TargetMode="External"/><Relationship Id="rId1465" Type="http://schemas.openxmlformats.org/officeDocument/2006/relationships/hyperlink" Target="http://www.rarlabs.com/" TargetMode="External"/><Relationship Id="rId1672" Type="http://schemas.openxmlformats.org/officeDocument/2006/relationships/hyperlink" Target="http://www.powerarchiver.com/" TargetMode="External"/><Relationship Id="rId1020" Type="http://schemas.openxmlformats.org/officeDocument/2006/relationships/hyperlink" Target="http://www.emit.jp/dgca/dgca_e.html" TargetMode="External"/><Relationship Id="rId1118" Type="http://schemas.openxmlformats.org/officeDocument/2006/relationships/hyperlink" Target="http://ftp.sac.sk/sac/pack/wrar420.exe" TargetMode="External"/><Relationship Id="rId1325" Type="http://schemas.openxmlformats.org/officeDocument/2006/relationships/hyperlink" Target="http://libbsc.com/" TargetMode="External"/><Relationship Id="rId1532" Type="http://schemas.openxmlformats.org/officeDocument/2006/relationships/hyperlink" Target="https://github.com/Cyan4973/zstd" TargetMode="External"/><Relationship Id="rId902" Type="http://schemas.openxmlformats.org/officeDocument/2006/relationships/hyperlink" Target="http://www.compression.ru/ds/" TargetMode="External"/><Relationship Id="rId1837" Type="http://schemas.openxmlformats.org/officeDocument/2006/relationships/hyperlink" Target="https://encode.ru/attachment.php?attachmentid=5284&amp;d=1504849543" TargetMode="External"/><Relationship Id="rId31" Type="http://schemas.openxmlformats.org/officeDocument/2006/relationships/hyperlink" Target="http://encode.ru/attachment.php?attachmentid=1946&amp;d=1336895016" TargetMode="External"/><Relationship Id="rId180" Type="http://schemas.openxmlformats.org/officeDocument/2006/relationships/hyperlink" Target="http://www.compression.ru/ds/" TargetMode="External"/><Relationship Id="rId278" Type="http://schemas.openxmlformats.org/officeDocument/2006/relationships/hyperlink" Target="ftp://ftp.sac.sk/pub/sac/pack/uharc06b.zip" TargetMode="External"/><Relationship Id="rId1904" Type="http://schemas.openxmlformats.org/officeDocument/2006/relationships/hyperlink" Target="https://encode.ru/attachment.php?attachmentid=5435&amp;d=1508621284" TargetMode="External"/><Relationship Id="rId485" Type="http://schemas.openxmlformats.org/officeDocument/2006/relationships/hyperlink" Target="http://www.winzip.com/" TargetMode="External"/><Relationship Id="rId692" Type="http://schemas.openxmlformats.org/officeDocument/2006/relationships/hyperlink" Target="http://www.winzip.com/" TargetMode="External"/><Relationship Id="rId138" Type="http://schemas.openxmlformats.org/officeDocument/2006/relationships/hyperlink" Target="http://nishi.dreamhosters.com/u/reflate_v0c1.rar" TargetMode="External"/><Relationship Id="rId345" Type="http://schemas.openxmlformats.org/officeDocument/2006/relationships/hyperlink" Target="http://www.winace.com/" TargetMode="External"/><Relationship Id="rId552" Type="http://schemas.openxmlformats.org/officeDocument/2006/relationships/hyperlink" Target="http://libbsc.com/" TargetMode="External"/><Relationship Id="rId997" Type="http://schemas.openxmlformats.org/officeDocument/2006/relationships/hyperlink" Target="https://github.com/google/brotli" TargetMode="External"/><Relationship Id="rId1182" Type="http://schemas.openxmlformats.org/officeDocument/2006/relationships/hyperlink" Target="https://github.com/schnaader/precomp-cpp/releases/download/v0.4.5/precomp.zip" TargetMode="External"/><Relationship Id="rId205" Type="http://schemas.openxmlformats.org/officeDocument/2006/relationships/hyperlink" Target="http://www.winzip.com/" TargetMode="External"/><Relationship Id="rId412" Type="http://schemas.openxmlformats.org/officeDocument/2006/relationships/hyperlink" Target="http://bzip.org/" TargetMode="External"/><Relationship Id="rId857" Type="http://schemas.openxmlformats.org/officeDocument/2006/relationships/hyperlink" Target="http://libbsc.com/" TargetMode="External"/><Relationship Id="rId1042" Type="http://schemas.openxmlformats.org/officeDocument/2006/relationships/hyperlink" Target="http://cs.txstate.edu/~burtscher/research/SPDPcompressor/" TargetMode="External"/><Relationship Id="rId1487" Type="http://schemas.openxmlformats.org/officeDocument/2006/relationships/hyperlink" Target="http://www.winzip.com/" TargetMode="External"/><Relationship Id="rId1694" Type="http://schemas.openxmlformats.org/officeDocument/2006/relationships/hyperlink" Target="https://encode.ru/attachment.php?attachmentid=5122&amp;d=1503087121" TargetMode="External"/><Relationship Id="rId717" Type="http://schemas.openxmlformats.org/officeDocument/2006/relationships/hyperlink" Target="http://encode.ru/attachment.php?attachmentid=4536&amp;d=1468876571" TargetMode="External"/><Relationship Id="rId924" Type="http://schemas.openxmlformats.org/officeDocument/2006/relationships/hyperlink" Target="http://www.rarlabs.com/" TargetMode="External"/><Relationship Id="rId1347" Type="http://schemas.openxmlformats.org/officeDocument/2006/relationships/hyperlink" Target="http://encode.ru/attachment.php?attachmentid=2361&amp;d=1371506860" TargetMode="External"/><Relationship Id="rId1554" Type="http://schemas.openxmlformats.org/officeDocument/2006/relationships/hyperlink" Target="http://www.compression.ru/ds/" TargetMode="External"/><Relationship Id="rId1761" Type="http://schemas.openxmlformats.org/officeDocument/2006/relationships/hyperlink" Target="https://drive.google.com/drive/folders/0B_X1BeQ2TuWibTBmVG90S0k1bVE" TargetMode="External"/><Relationship Id="rId53" Type="http://schemas.openxmlformats.org/officeDocument/2006/relationships/hyperlink" Target="http://www.nanozip.net/" TargetMode="External"/><Relationship Id="rId1207" Type="http://schemas.openxmlformats.org/officeDocument/2006/relationships/hyperlink" Target="http://nishi.dreamhosters.com/u/rawfilt_v1g.rar" TargetMode="External"/><Relationship Id="rId1414" Type="http://schemas.openxmlformats.org/officeDocument/2006/relationships/hyperlink" Target="http://heartofcomp.altervista.org/zcm093.zip" TargetMode="External"/><Relationship Id="rId1621" Type="http://schemas.openxmlformats.org/officeDocument/2006/relationships/hyperlink" Target="https://encode.ru/attachment.php?attachmentid=5131&amp;d=1503168357" TargetMode="External"/><Relationship Id="rId1859" Type="http://schemas.openxmlformats.org/officeDocument/2006/relationships/hyperlink" Target="https://encode.ru/attachment.php?attachmentid=5284&amp;d=1504849543" TargetMode="External"/><Relationship Id="rId1719" Type="http://schemas.openxmlformats.org/officeDocument/2006/relationships/hyperlink" Target="https://drive.google.com/drive/folders/0B_X1BeQ2TuWibTBmVG90S0k1bVE" TargetMode="External"/><Relationship Id="rId367" Type="http://schemas.openxmlformats.org/officeDocument/2006/relationships/hyperlink" Target="http://www.winzip.com/" TargetMode="External"/><Relationship Id="rId574" Type="http://schemas.openxmlformats.org/officeDocument/2006/relationships/hyperlink" Target="http://encode.ru/attachment.php?attachmentid=2361&amp;d=1371506860" TargetMode="External"/><Relationship Id="rId227" Type="http://schemas.openxmlformats.org/officeDocument/2006/relationships/hyperlink" Target="http://libbsc.com/" TargetMode="External"/><Relationship Id="rId781" Type="http://schemas.openxmlformats.org/officeDocument/2006/relationships/hyperlink" Target="http://heartofcomp.altervista.org/packet1.9.zip" TargetMode="External"/><Relationship Id="rId879" Type="http://schemas.openxmlformats.org/officeDocument/2006/relationships/hyperlink" Target="http://www.7-zip.org/" TargetMode="External"/><Relationship Id="rId434" Type="http://schemas.openxmlformats.org/officeDocument/2006/relationships/hyperlink" Target="http://www.emit.jp/dgca/dgca_e.html" TargetMode="External"/><Relationship Id="rId641" Type="http://schemas.openxmlformats.org/officeDocument/2006/relationships/hyperlink" Target="https://github.com/Cyan4973/zstd" TargetMode="External"/><Relationship Id="rId739" Type="http://schemas.openxmlformats.org/officeDocument/2006/relationships/hyperlink" Target="https://github.com/google/brotli" TargetMode="External"/><Relationship Id="rId1064" Type="http://schemas.openxmlformats.org/officeDocument/2006/relationships/hyperlink" Target="http://heartofcomp.altervista.org/zcm093.zip" TargetMode="External"/><Relationship Id="rId1271" Type="http://schemas.openxmlformats.org/officeDocument/2006/relationships/hyperlink" Target="http://ftp.sac.sk/sac/pack/wrar420.exe" TargetMode="External"/><Relationship Id="rId1369" Type="http://schemas.openxmlformats.org/officeDocument/2006/relationships/hyperlink" Target="http://nishi.dreamhosters.com/u/rawfilt_v1g.rar" TargetMode="External"/><Relationship Id="rId1576" Type="http://schemas.openxmlformats.org/officeDocument/2006/relationships/hyperlink" Target="https://encode.ru/attachment.php?attachmentid=5102&amp;d=1502725544" TargetMode="External"/><Relationship Id="rId501" Type="http://schemas.openxmlformats.org/officeDocument/2006/relationships/hyperlink" Target="http://www.nanozip.net/" TargetMode="External"/><Relationship Id="rId946" Type="http://schemas.openxmlformats.org/officeDocument/2006/relationships/hyperlink" Target="https://github.com/Cyan4973/zstd" TargetMode="External"/><Relationship Id="rId1131" Type="http://schemas.openxmlformats.org/officeDocument/2006/relationships/hyperlink" Target="http://encode.ru/attachment.php?attachmentid=4154&amp;d=1457802709" TargetMode="External"/><Relationship Id="rId1229" Type="http://schemas.openxmlformats.org/officeDocument/2006/relationships/hyperlink" Target="http://encode.ru/attachment.php?attachmentid=4648&amp;d=1474214539" TargetMode="External"/><Relationship Id="rId1783" Type="http://schemas.openxmlformats.org/officeDocument/2006/relationships/hyperlink" Target="http://www.powerarchiver.com/" TargetMode="External"/><Relationship Id="rId75" Type="http://schemas.openxmlformats.org/officeDocument/2006/relationships/hyperlink" Target="ftp://ftp.sac.sk/pub/sac/pack/uharc06b.zip" TargetMode="External"/><Relationship Id="rId806" Type="http://schemas.openxmlformats.org/officeDocument/2006/relationships/hyperlink" Target="http://bzip.org/" TargetMode="External"/><Relationship Id="rId1436" Type="http://schemas.openxmlformats.org/officeDocument/2006/relationships/hyperlink" Target="http://www.nanozip.net/" TargetMode="External"/><Relationship Id="rId1643" Type="http://schemas.openxmlformats.org/officeDocument/2006/relationships/hyperlink" Target="https://encode.ru/attachment.php?attachmentid=5131&amp;d=1503168357" TargetMode="External"/><Relationship Id="rId1850" Type="http://schemas.openxmlformats.org/officeDocument/2006/relationships/hyperlink" Target="https://encode.ru/attachment.php?attachmentid=5284&amp;d=1504849543" TargetMode="External"/><Relationship Id="rId1503" Type="http://schemas.openxmlformats.org/officeDocument/2006/relationships/hyperlink" Target="http://encode.ru/attachment.php?attachmentid=4154&amp;d=1457802709" TargetMode="External"/><Relationship Id="rId1710" Type="http://schemas.openxmlformats.org/officeDocument/2006/relationships/hyperlink" Target="https://drive.google.com/drive/folders/0B_X1BeQ2TuWibTBmVG90S0k1bVE" TargetMode="External"/><Relationship Id="rId291" Type="http://schemas.openxmlformats.org/officeDocument/2006/relationships/hyperlink" Target="http://encode.ru/attachment.php?attachmentid=1501&amp;d=1298990074" TargetMode="External"/><Relationship Id="rId1808" Type="http://schemas.openxmlformats.org/officeDocument/2006/relationships/hyperlink" Target="https://encode.ru/attachment.php?attachmentid=5247&amp;d=1504524157" TargetMode="External"/><Relationship Id="rId151" Type="http://schemas.openxmlformats.org/officeDocument/2006/relationships/hyperlink" Target="http://libbsc.com/" TargetMode="External"/><Relationship Id="rId389" Type="http://schemas.openxmlformats.org/officeDocument/2006/relationships/hyperlink" Target="http://encode.ru/attachment.php?attachmentid=3211&amp;d=1414109843" TargetMode="External"/><Relationship Id="rId596" Type="http://schemas.openxmlformats.org/officeDocument/2006/relationships/hyperlink" Target="https://drive.google.com/file/d/0ByLIAFlgldSoTEhoWTRneVJtcEk/view?usp=sharing" TargetMode="External"/><Relationship Id="rId249" Type="http://schemas.openxmlformats.org/officeDocument/2006/relationships/hyperlink" Target="https://github.com/Diazonium/AntiZ" TargetMode="External"/><Relationship Id="rId456" Type="http://schemas.openxmlformats.org/officeDocument/2006/relationships/hyperlink" Target="http://encode.ru/attachment.php?attachmentid=1946&amp;d=1336895016" TargetMode="External"/><Relationship Id="rId663" Type="http://schemas.openxmlformats.org/officeDocument/2006/relationships/hyperlink" Target="https://github.com/hxim/paq8px" TargetMode="External"/><Relationship Id="rId870" Type="http://schemas.openxmlformats.org/officeDocument/2006/relationships/hyperlink" Target="http://encode.ru/attachment.php?attachmentid=1946&amp;d=1336895016" TargetMode="External"/><Relationship Id="rId1086" Type="http://schemas.openxmlformats.org/officeDocument/2006/relationships/hyperlink" Target="http://ftp.sac.sk/sac/pack/wrar420.exe" TargetMode="External"/><Relationship Id="rId1293" Type="http://schemas.openxmlformats.org/officeDocument/2006/relationships/hyperlink" Target="http://libbsc.com/" TargetMode="External"/><Relationship Id="rId109" Type="http://schemas.openxmlformats.org/officeDocument/2006/relationships/hyperlink" Target="http://www.edgesounds.com/Downloads.aspx" TargetMode="External"/><Relationship Id="rId316" Type="http://schemas.openxmlformats.org/officeDocument/2006/relationships/hyperlink" Target="http://libbsc.com/" TargetMode="External"/><Relationship Id="rId523" Type="http://schemas.openxmlformats.org/officeDocument/2006/relationships/hyperlink" Target="http://www.winace.com/" TargetMode="External"/><Relationship Id="rId968" Type="http://schemas.openxmlformats.org/officeDocument/2006/relationships/hyperlink" Target="https://github.com/Cyan4973/zstd" TargetMode="External"/><Relationship Id="rId1153" Type="http://schemas.openxmlformats.org/officeDocument/2006/relationships/hyperlink" Target="http://encode.ru/attachment.php?attachmentid=4154&amp;d=1457802709" TargetMode="External"/><Relationship Id="rId1598" Type="http://schemas.openxmlformats.org/officeDocument/2006/relationships/hyperlink" Target="https://encode.ru/attachment.php?attachmentid=5102&amp;d=1502725544" TargetMode="External"/><Relationship Id="rId97" Type="http://schemas.openxmlformats.org/officeDocument/2006/relationships/hyperlink" Target="http://encode.ru/attachment.php?attachmentid=3211&amp;d=1414109843" TargetMode="External"/><Relationship Id="rId730" Type="http://schemas.openxmlformats.org/officeDocument/2006/relationships/hyperlink" Target="http://heartofcomp.altervista.org/packet1.9.zip" TargetMode="External"/><Relationship Id="rId828" Type="http://schemas.openxmlformats.org/officeDocument/2006/relationships/hyperlink" Target="http://libbsc.com/" TargetMode="External"/><Relationship Id="rId1013" Type="http://schemas.openxmlformats.org/officeDocument/2006/relationships/hyperlink" Target="http://code.google.com/p/lzham/" TargetMode="External"/><Relationship Id="rId1360" Type="http://schemas.openxmlformats.org/officeDocument/2006/relationships/hyperlink" Target="https://drive.google.com/file/d/0ByLIAFlgldSoc0F3U2R4YkUtZTQ/view?usp=sharing" TargetMode="External"/><Relationship Id="rId1458" Type="http://schemas.openxmlformats.org/officeDocument/2006/relationships/hyperlink" Target="http://www.winzip.com/" TargetMode="External"/><Relationship Id="rId1665" Type="http://schemas.openxmlformats.org/officeDocument/2006/relationships/hyperlink" Target="https://drive.google.com/open?id=0B_X1BeQ2TuWickxKMGVnQzFzTUE" TargetMode="External"/><Relationship Id="rId1872" Type="http://schemas.openxmlformats.org/officeDocument/2006/relationships/hyperlink" Target="https://encode.ru/attachment.php?attachmentid=5435&amp;d=1508621284" TargetMode="External"/><Relationship Id="rId1220" Type="http://schemas.openxmlformats.org/officeDocument/2006/relationships/hyperlink" Target="http://nishi.dreamhosters.com/u/rawfilt_v1g.rar" TargetMode="External"/><Relationship Id="rId1318" Type="http://schemas.openxmlformats.org/officeDocument/2006/relationships/hyperlink" Target="http://www.7-zip.org/" TargetMode="External"/><Relationship Id="rId1525" Type="http://schemas.openxmlformats.org/officeDocument/2006/relationships/hyperlink" Target="https://github.com/Cyan4973/zstd" TargetMode="External"/><Relationship Id="rId1732" Type="http://schemas.openxmlformats.org/officeDocument/2006/relationships/hyperlink" Target="http://www.powerarchiver.com/" TargetMode="External"/><Relationship Id="rId24" Type="http://schemas.openxmlformats.org/officeDocument/2006/relationships/hyperlink" Target="http://encode.ru/attachment.php?attachmentid=3211&amp;d=1414109843" TargetMode="External"/><Relationship Id="rId173" Type="http://schemas.openxmlformats.org/officeDocument/2006/relationships/hyperlink" Target="http://bzip.org/" TargetMode="External"/><Relationship Id="rId380" Type="http://schemas.openxmlformats.org/officeDocument/2006/relationships/hyperlink" Target="http://freearc.org/" TargetMode="External"/><Relationship Id="rId240" Type="http://schemas.openxmlformats.org/officeDocument/2006/relationships/hyperlink" Target="http://www.winzip.com/" TargetMode="External"/><Relationship Id="rId478" Type="http://schemas.openxmlformats.org/officeDocument/2006/relationships/hyperlink" Target="http://www.rarlabs.com/" TargetMode="External"/><Relationship Id="rId685" Type="http://schemas.openxmlformats.org/officeDocument/2006/relationships/hyperlink" Target="http://img.photographyblog.com/reviews/nikon_d3x/sample_images/nikon_d3x_08.nef" TargetMode="External"/><Relationship Id="rId892" Type="http://schemas.openxmlformats.org/officeDocument/2006/relationships/hyperlink" Target="http://rawzor.com/rawzor/" TargetMode="External"/><Relationship Id="rId100" Type="http://schemas.openxmlformats.org/officeDocument/2006/relationships/hyperlink" Target="http://www.7-zip.org/" TargetMode="External"/><Relationship Id="rId338" Type="http://schemas.openxmlformats.org/officeDocument/2006/relationships/hyperlink" Target="http://www.winzip.com/" TargetMode="External"/><Relationship Id="rId545" Type="http://schemas.openxmlformats.org/officeDocument/2006/relationships/hyperlink" Target="http://libbsc.com/" TargetMode="External"/><Relationship Id="rId752" Type="http://schemas.openxmlformats.org/officeDocument/2006/relationships/hyperlink" Target="http://heartofcomp.altervista.org/packet1.9.zip" TargetMode="External"/><Relationship Id="rId1175" Type="http://schemas.openxmlformats.org/officeDocument/2006/relationships/hyperlink" Target="https://github.com/schnaader/precomp-cpp/releases/download/v0.4.5/precomp.zip" TargetMode="External"/><Relationship Id="rId1382" Type="http://schemas.openxmlformats.org/officeDocument/2006/relationships/hyperlink" Target="ftp://ftp.sac.sk/pub/sac/pack/uharc06b.zip" TargetMode="External"/><Relationship Id="rId405" Type="http://schemas.openxmlformats.org/officeDocument/2006/relationships/hyperlink" Target="http://schnaader.info/precomp.php" TargetMode="External"/><Relationship Id="rId612" Type="http://schemas.openxmlformats.org/officeDocument/2006/relationships/hyperlink" Target="https://drive.google.com/file/d/0ByLIAFlgldSoTGVMZ1J3Zm9TTkU/view?usp=sharing" TargetMode="External"/><Relationship Id="rId1035" Type="http://schemas.openxmlformats.org/officeDocument/2006/relationships/hyperlink" Target="http://nishi.dreamhosters.com/u/flifraw_v1.7z" TargetMode="External"/><Relationship Id="rId1242" Type="http://schemas.openxmlformats.org/officeDocument/2006/relationships/hyperlink" Target="https://drive.google.com/open?id=0B_X1BeQ2TuWiWVFVTnhMSFhiZHM" TargetMode="External"/><Relationship Id="rId1687" Type="http://schemas.openxmlformats.org/officeDocument/2006/relationships/hyperlink" Target="http://www.powerarchiver.com/" TargetMode="External"/><Relationship Id="rId1894" Type="http://schemas.openxmlformats.org/officeDocument/2006/relationships/hyperlink" Target="https://encode.ru/attachment.php?attachmentid=5435&amp;d=1508621284" TargetMode="External"/><Relationship Id="rId917" Type="http://schemas.openxmlformats.org/officeDocument/2006/relationships/hyperlink" Target="http://heartofcomp.altervista.org/packet1.9.zip" TargetMode="External"/><Relationship Id="rId1102" Type="http://schemas.openxmlformats.org/officeDocument/2006/relationships/hyperlink" Target="http://ftp.sac.sk/sac/pack/wrar420.exe" TargetMode="External"/><Relationship Id="rId1547" Type="http://schemas.openxmlformats.org/officeDocument/2006/relationships/hyperlink" Target="http://encode.ru/attachment.php?attachmentid=4661&amp;d=1474958346" TargetMode="External"/><Relationship Id="rId1754" Type="http://schemas.openxmlformats.org/officeDocument/2006/relationships/hyperlink" Target="https://encode.ru/attachment.php?attachmentid=5122&amp;d=1503087121" TargetMode="External"/><Relationship Id="rId46" Type="http://schemas.openxmlformats.org/officeDocument/2006/relationships/hyperlink" Target="http://schnaader.info/precomp.php" TargetMode="External"/><Relationship Id="rId1407" Type="http://schemas.openxmlformats.org/officeDocument/2006/relationships/hyperlink" Target="http://encode.ru/attachment.php?attachmentid=4648&amp;d=1474214539" TargetMode="External"/><Relationship Id="rId1614" Type="http://schemas.openxmlformats.org/officeDocument/2006/relationships/hyperlink" Target="https://encode.ru/attachment.php?attachmentid=5131&amp;d=1503168357" TargetMode="External"/><Relationship Id="rId1821" Type="http://schemas.openxmlformats.org/officeDocument/2006/relationships/hyperlink" Target="https://encode.ru/attachment.php?attachmentid=5284&amp;d=1504849543" TargetMode="External"/><Relationship Id="rId195" Type="http://schemas.openxmlformats.org/officeDocument/2006/relationships/hyperlink" Target="http://mattmahoney.net/dc/zpaq.html" TargetMode="External"/><Relationship Id="rId262" Type="http://schemas.openxmlformats.org/officeDocument/2006/relationships/hyperlink" Target="http://freearc.org/" TargetMode="External"/><Relationship Id="rId567" Type="http://schemas.openxmlformats.org/officeDocument/2006/relationships/hyperlink" Target="http://encode.ru/attachment.php?attachmentid=2361&amp;d=1371506860" TargetMode="External"/><Relationship Id="rId1197" Type="http://schemas.openxmlformats.org/officeDocument/2006/relationships/hyperlink" Target="http://nishi.dreamhosters.com/u/rawfilt_v1g.rar" TargetMode="External"/><Relationship Id="rId122" Type="http://schemas.openxmlformats.org/officeDocument/2006/relationships/hyperlink" Target="ftp://ftp.sac.sk/pub/sac/pack/uharc06b.zip" TargetMode="External"/><Relationship Id="rId774" Type="http://schemas.openxmlformats.org/officeDocument/2006/relationships/hyperlink" Target="http://heartofcomp.altervista.org/packet1.9.zip" TargetMode="External"/><Relationship Id="rId981" Type="http://schemas.openxmlformats.org/officeDocument/2006/relationships/hyperlink" Target="http://heartofcomp.altervista.org/packet1.9.zip" TargetMode="External"/><Relationship Id="rId1057" Type="http://schemas.openxmlformats.org/officeDocument/2006/relationships/hyperlink" Target="http://heartofcomp.altervista.org/zcm093.zip" TargetMode="External"/><Relationship Id="rId427" Type="http://schemas.openxmlformats.org/officeDocument/2006/relationships/hyperlink" Target="http://www.nanozip.net/" TargetMode="External"/><Relationship Id="rId634" Type="http://schemas.openxmlformats.org/officeDocument/2006/relationships/hyperlink" Target="https://github.com/Cyan4973/zstd" TargetMode="External"/><Relationship Id="rId841" Type="http://schemas.openxmlformats.org/officeDocument/2006/relationships/hyperlink" Target="http://rawzor.com/rawzor/" TargetMode="External"/><Relationship Id="rId1264" Type="http://schemas.openxmlformats.org/officeDocument/2006/relationships/hyperlink" Target="http://libbsc.com/" TargetMode="External"/><Relationship Id="rId1471" Type="http://schemas.openxmlformats.org/officeDocument/2006/relationships/hyperlink" Target="http://encode.ru/attachment.php?attachmentid=1946&amp;d=1336895016" TargetMode="External"/><Relationship Id="rId1569" Type="http://schemas.openxmlformats.org/officeDocument/2006/relationships/hyperlink" Target="https://encode.ru/attachment.php?attachmentid=5131&amp;d=1503168357" TargetMode="External"/><Relationship Id="rId701" Type="http://schemas.openxmlformats.org/officeDocument/2006/relationships/hyperlink" Target="https://github.com/hxim/paq8px" TargetMode="External"/><Relationship Id="rId939" Type="http://schemas.openxmlformats.org/officeDocument/2006/relationships/hyperlink" Target="https://drive.google.com/file/d/0ByLIAFlgldSoYk85eFBMODkxTFU/view?usp=sharing" TargetMode="External"/><Relationship Id="rId1124" Type="http://schemas.openxmlformats.org/officeDocument/2006/relationships/hyperlink" Target="http://encode.ru/attachment.php?attachmentid=4154&amp;d=1457802709" TargetMode="External"/><Relationship Id="rId1331" Type="http://schemas.openxmlformats.org/officeDocument/2006/relationships/hyperlink" Target="http://encode.ru/attachment.php?attachmentid=4536&amp;d=1468876571" TargetMode="External"/><Relationship Id="rId1776" Type="http://schemas.openxmlformats.org/officeDocument/2006/relationships/hyperlink" Target="https://drive.google.com/drive/folders/0B_X1BeQ2TuWibTBmVG90S0k1bVE" TargetMode="External"/><Relationship Id="rId68" Type="http://schemas.openxmlformats.org/officeDocument/2006/relationships/hyperlink" Target="http://www.winzip.com/" TargetMode="External"/><Relationship Id="rId1429" Type="http://schemas.openxmlformats.org/officeDocument/2006/relationships/hyperlink" Target="http://www.emit.jp/dgca/dgca_e.html" TargetMode="External"/><Relationship Id="rId1636" Type="http://schemas.openxmlformats.org/officeDocument/2006/relationships/hyperlink" Target="https://encode.ru/attachment.php?attachmentid=5131&amp;d=1503168357" TargetMode="External"/><Relationship Id="rId1843" Type="http://schemas.openxmlformats.org/officeDocument/2006/relationships/hyperlink" Target="https://encode.ru/attachment.php?attachmentid=5284&amp;d=1504849543" TargetMode="External"/><Relationship Id="rId1703" Type="http://schemas.openxmlformats.org/officeDocument/2006/relationships/hyperlink" Target="https://encode.ru/attachment.php?attachmentid=5122&amp;d=1503087121" TargetMode="External"/><Relationship Id="rId1910" Type="http://schemas.openxmlformats.org/officeDocument/2006/relationships/printerSettings" Target="../printerSettings/printerSettings11.bin"/><Relationship Id="rId284" Type="http://schemas.openxmlformats.org/officeDocument/2006/relationships/hyperlink" Target="http://bzip.org/" TargetMode="External"/><Relationship Id="rId491" Type="http://schemas.openxmlformats.org/officeDocument/2006/relationships/hyperlink" Target="http://encode.ru/attachment.php?attachmentid=3211&amp;d=1414109843" TargetMode="External"/><Relationship Id="rId144" Type="http://schemas.openxmlformats.org/officeDocument/2006/relationships/hyperlink" Target="http://www.winzip.com/" TargetMode="External"/><Relationship Id="rId589" Type="http://schemas.openxmlformats.org/officeDocument/2006/relationships/hyperlink" Target="http://encode.ru/attachment.php?attachmentid=2361&amp;d=1371506860" TargetMode="External"/><Relationship Id="rId796" Type="http://schemas.openxmlformats.org/officeDocument/2006/relationships/hyperlink" Target="http://libbsc.com/" TargetMode="External"/><Relationship Id="rId351" Type="http://schemas.openxmlformats.org/officeDocument/2006/relationships/hyperlink" Target="http://sagamusix.de/download/discovery/mod/" TargetMode="External"/><Relationship Id="rId449" Type="http://schemas.openxmlformats.org/officeDocument/2006/relationships/hyperlink" Target="ftp://ftp.sac.sk/pub/sac/pack/uharc06b.zip" TargetMode="External"/><Relationship Id="rId656" Type="http://schemas.openxmlformats.org/officeDocument/2006/relationships/hyperlink" Target="https://github.com/hxim/paq8px" TargetMode="External"/><Relationship Id="rId863" Type="http://schemas.openxmlformats.org/officeDocument/2006/relationships/hyperlink" Target="http://www.nanozip.net/" TargetMode="External"/><Relationship Id="rId1079" Type="http://schemas.openxmlformats.org/officeDocument/2006/relationships/hyperlink" Target="http://heartofcomp.altervista.org/zcm093.zip" TargetMode="External"/><Relationship Id="rId1286" Type="http://schemas.openxmlformats.org/officeDocument/2006/relationships/hyperlink" Target="http://www.7-zip.org/" TargetMode="External"/><Relationship Id="rId1493" Type="http://schemas.openxmlformats.org/officeDocument/2006/relationships/hyperlink" Target="http://bzip.org/" TargetMode="External"/><Relationship Id="rId211" Type="http://schemas.openxmlformats.org/officeDocument/2006/relationships/hyperlink" Target="http://libbsc.com/" TargetMode="External"/><Relationship Id="rId309" Type="http://schemas.openxmlformats.org/officeDocument/2006/relationships/hyperlink" Target="http://www.compression.ru/ds/" TargetMode="External"/><Relationship Id="rId516" Type="http://schemas.openxmlformats.org/officeDocument/2006/relationships/hyperlink" Target="http://encode.ru/attachment.php?attachmentid=2361&amp;d=1371506860" TargetMode="External"/><Relationship Id="rId1146" Type="http://schemas.openxmlformats.org/officeDocument/2006/relationships/hyperlink" Target="http://encode.ru/attachment.php?attachmentid=4154&amp;d=1457802709" TargetMode="External"/><Relationship Id="rId1798" Type="http://schemas.openxmlformats.org/officeDocument/2006/relationships/hyperlink" Target="http://www.powerarchiver.com/" TargetMode="External"/><Relationship Id="rId723" Type="http://schemas.openxmlformats.org/officeDocument/2006/relationships/hyperlink" Target="http://encode.ru/attachment.php?attachmentid=4536&amp;d=1468876571" TargetMode="External"/><Relationship Id="rId930" Type="http://schemas.openxmlformats.org/officeDocument/2006/relationships/hyperlink" Target="http://www.rarlabs.com/" TargetMode="External"/><Relationship Id="rId1006" Type="http://schemas.openxmlformats.org/officeDocument/2006/relationships/hyperlink" Target="https://drive.google.com/file/d/0ByLIAFlgldSoWkc3cjJkemo5ZHc/view?usp=sharing" TargetMode="External"/><Relationship Id="rId1353" Type="http://schemas.openxmlformats.org/officeDocument/2006/relationships/hyperlink" Target="ftp://ftp.sac.sk/pub/sac/pack/uharc06b.zip" TargetMode="External"/><Relationship Id="rId1560" Type="http://schemas.openxmlformats.org/officeDocument/2006/relationships/hyperlink" Target="http://www.compression.ru/ds/" TargetMode="External"/><Relationship Id="rId1658" Type="http://schemas.openxmlformats.org/officeDocument/2006/relationships/hyperlink" Target="https://drive.google.com/open?id=0B_X1BeQ2TuWickxKMGVnQzFzTUE" TargetMode="External"/><Relationship Id="rId1865" Type="http://schemas.openxmlformats.org/officeDocument/2006/relationships/hyperlink" Target="https://encode.ru/attachment.php?attachmentid=5411&amp;d=1508085362" TargetMode="External"/><Relationship Id="rId1213" Type="http://schemas.openxmlformats.org/officeDocument/2006/relationships/hyperlink" Target="http://nishi.dreamhosters.com/u/rawfilt_v1g.rar" TargetMode="External"/><Relationship Id="rId1420" Type="http://schemas.openxmlformats.org/officeDocument/2006/relationships/hyperlink" Target="http://www.compression.ru/ds/" TargetMode="External"/><Relationship Id="rId1518" Type="http://schemas.openxmlformats.org/officeDocument/2006/relationships/hyperlink" Target="http://www.rarlabs.com/" TargetMode="External"/><Relationship Id="rId1725" Type="http://schemas.openxmlformats.org/officeDocument/2006/relationships/hyperlink" Target="https://drive.google.com/drive/folders/0B_X1BeQ2TuWibTBmVG90S0k1bVE" TargetMode="External"/><Relationship Id="rId17" Type="http://schemas.openxmlformats.org/officeDocument/2006/relationships/hyperlink" Target="http://encode.ru/attachment.php?attachmentid=3211&amp;d=1414109843" TargetMode="External"/><Relationship Id="rId166" Type="http://schemas.openxmlformats.org/officeDocument/2006/relationships/hyperlink" Target="http://www.winzip.com/" TargetMode="External"/><Relationship Id="rId373" Type="http://schemas.openxmlformats.org/officeDocument/2006/relationships/hyperlink" Target="http://schnaader.info/precomp.php" TargetMode="External"/><Relationship Id="rId580" Type="http://schemas.openxmlformats.org/officeDocument/2006/relationships/hyperlink" Target="http://encode.ru/attachment.php?attachmentid=2361&amp;d=1371506860" TargetMode="External"/><Relationship Id="rId1" Type="http://schemas.openxmlformats.org/officeDocument/2006/relationships/hyperlink" Target="http://www.renoise.com/" TargetMode="External"/><Relationship Id="rId233" Type="http://schemas.openxmlformats.org/officeDocument/2006/relationships/hyperlink" Target="ftp://ftp.sac.sk/pub/sac/pack/uharc06b.zip" TargetMode="External"/><Relationship Id="rId440" Type="http://schemas.openxmlformats.org/officeDocument/2006/relationships/hyperlink" Target="http://libbsc.com/" TargetMode="External"/><Relationship Id="rId678" Type="http://schemas.openxmlformats.org/officeDocument/2006/relationships/hyperlink" Target="https://github.com/hxim/paq8px" TargetMode="External"/><Relationship Id="rId885" Type="http://schemas.openxmlformats.org/officeDocument/2006/relationships/hyperlink" Target="http://libbsc.com/" TargetMode="External"/><Relationship Id="rId1070" Type="http://schemas.openxmlformats.org/officeDocument/2006/relationships/hyperlink" Target="http://heartofcomp.altervista.org/zcm093.zip" TargetMode="External"/><Relationship Id="rId300" Type="http://schemas.openxmlformats.org/officeDocument/2006/relationships/hyperlink" Target="http://www.winace.com/" TargetMode="External"/><Relationship Id="rId538" Type="http://schemas.openxmlformats.org/officeDocument/2006/relationships/hyperlink" Target="http://www.winzip.com/" TargetMode="External"/><Relationship Id="rId745" Type="http://schemas.openxmlformats.org/officeDocument/2006/relationships/hyperlink" Target="https://github.com/google/brotli" TargetMode="External"/><Relationship Id="rId952" Type="http://schemas.openxmlformats.org/officeDocument/2006/relationships/hyperlink" Target="https://github.com/Cyan4973/zstd" TargetMode="External"/><Relationship Id="rId1168" Type="http://schemas.openxmlformats.org/officeDocument/2006/relationships/hyperlink" Target="https://github.com/schnaader/precomp-cpp/releases/download/v0.4.5/precomp.zip" TargetMode="External"/><Relationship Id="rId1375" Type="http://schemas.openxmlformats.org/officeDocument/2006/relationships/hyperlink" Target="http://www.compression.ru/ds/" TargetMode="External"/><Relationship Id="rId1582" Type="http://schemas.openxmlformats.org/officeDocument/2006/relationships/hyperlink" Target="https://encode.ru/attachment.php?attachmentid=5102&amp;d=1502725544" TargetMode="External"/><Relationship Id="rId81" Type="http://schemas.openxmlformats.org/officeDocument/2006/relationships/hyperlink" Target="http://freearc.org/" TargetMode="External"/><Relationship Id="rId605" Type="http://schemas.openxmlformats.org/officeDocument/2006/relationships/hyperlink" Target="https://drive.google.com/file/d/0ByLIAFlgldSobmlidV9meldUQzA/view?usp=sharing" TargetMode="External"/><Relationship Id="rId812" Type="http://schemas.openxmlformats.org/officeDocument/2006/relationships/hyperlink" Target="http://heartofcomp.altervista.org/packet1.9.zip" TargetMode="External"/><Relationship Id="rId1028" Type="http://schemas.openxmlformats.org/officeDocument/2006/relationships/hyperlink" Target="http://www.rawzor.com/" TargetMode="External"/><Relationship Id="rId1235" Type="http://schemas.openxmlformats.org/officeDocument/2006/relationships/hyperlink" Target="http://encode.ru/attachment.php?attachmentid=4648&amp;d=1474214539" TargetMode="External"/><Relationship Id="rId1442" Type="http://schemas.openxmlformats.org/officeDocument/2006/relationships/hyperlink" Target="https://github.com/Cyan4973/zstd" TargetMode="External"/><Relationship Id="rId1887" Type="http://schemas.openxmlformats.org/officeDocument/2006/relationships/hyperlink" Target="https://encode.ru/attachment.php?attachmentid=5435&amp;d=1508621284" TargetMode="External"/><Relationship Id="rId1302" Type="http://schemas.openxmlformats.org/officeDocument/2006/relationships/hyperlink" Target="http://ftp.sac.sk/sac/pack/wrar420.exe" TargetMode="External"/><Relationship Id="rId1747" Type="http://schemas.openxmlformats.org/officeDocument/2006/relationships/hyperlink" Target="http://www.powerarchiver.com/" TargetMode="External"/><Relationship Id="rId39" Type="http://schemas.openxmlformats.org/officeDocument/2006/relationships/hyperlink" Target="http://nishi.dreamhosters.com/u/reflate_v0c1.rar" TargetMode="External"/><Relationship Id="rId1607" Type="http://schemas.openxmlformats.org/officeDocument/2006/relationships/hyperlink" Target="https://encode.ru/attachment.php?attachmentid=5102&amp;d=1502725544" TargetMode="External"/><Relationship Id="rId1814" Type="http://schemas.openxmlformats.org/officeDocument/2006/relationships/hyperlink" Target="https://encode.ru/attachment.php?attachmentid=5247&amp;d=1504524157" TargetMode="External"/><Relationship Id="rId188" Type="http://schemas.openxmlformats.org/officeDocument/2006/relationships/hyperlink" Target="http://encode.ru/attachment.php?attachmentid=3211&amp;d=1414109843" TargetMode="External"/><Relationship Id="rId395" Type="http://schemas.openxmlformats.org/officeDocument/2006/relationships/hyperlink" Target="http://www.winzip.com/" TargetMode="External"/><Relationship Id="rId255" Type="http://schemas.openxmlformats.org/officeDocument/2006/relationships/hyperlink" Target="http://code.google.com/p/lzham/" TargetMode="External"/><Relationship Id="rId462" Type="http://schemas.openxmlformats.org/officeDocument/2006/relationships/hyperlink" Target="http://encode.ru/attachment.php?attachmentid=3211&amp;d=1414109843" TargetMode="External"/><Relationship Id="rId1092" Type="http://schemas.openxmlformats.org/officeDocument/2006/relationships/hyperlink" Target="http://ftp.sac.sk/sac/pack/wrar420.exe" TargetMode="External"/><Relationship Id="rId1397" Type="http://schemas.openxmlformats.org/officeDocument/2006/relationships/hyperlink" Target="http://heartofcomp.altervista.org/packet1.9.zip" TargetMode="External"/><Relationship Id="rId115" Type="http://schemas.openxmlformats.org/officeDocument/2006/relationships/hyperlink" Target="http://nishi.dreamhosters.com/u/reflate_v0c1.rar" TargetMode="External"/><Relationship Id="rId322" Type="http://schemas.openxmlformats.org/officeDocument/2006/relationships/hyperlink" Target="ftp://ftp.sac.sk/pub/sac/pack/uharc06b.zip" TargetMode="External"/><Relationship Id="rId767" Type="http://schemas.openxmlformats.org/officeDocument/2006/relationships/hyperlink" Target="https://github.com/google/brotli" TargetMode="External"/><Relationship Id="rId974" Type="http://schemas.openxmlformats.org/officeDocument/2006/relationships/hyperlink" Target="http://encode.ru/attachment.php?attachmentid=4536&amp;d=1468876571" TargetMode="External"/><Relationship Id="rId627" Type="http://schemas.openxmlformats.org/officeDocument/2006/relationships/hyperlink" Target="https://github.com/Cyan4973/zstd" TargetMode="External"/><Relationship Id="rId834" Type="http://schemas.openxmlformats.org/officeDocument/2006/relationships/hyperlink" Target="http://www.nanozip.net/" TargetMode="External"/><Relationship Id="rId1257" Type="http://schemas.openxmlformats.org/officeDocument/2006/relationships/hyperlink" Target="http://www.compression.ru/ds/" TargetMode="External"/><Relationship Id="rId1464" Type="http://schemas.openxmlformats.org/officeDocument/2006/relationships/hyperlink" Target="http://www.compression.ru/ds/" TargetMode="External"/><Relationship Id="rId1671" Type="http://schemas.openxmlformats.org/officeDocument/2006/relationships/hyperlink" Target="https://drive.google.com/drive/folders/0B_X1BeQ2TuWibTBmVG90S0k1bVE" TargetMode="External"/><Relationship Id="rId901" Type="http://schemas.openxmlformats.org/officeDocument/2006/relationships/hyperlink" Target="http://code.google.com/p/lzham/" TargetMode="External"/><Relationship Id="rId1117" Type="http://schemas.openxmlformats.org/officeDocument/2006/relationships/hyperlink" Target="http://ftp.sac.sk/sac/pack/wrar420.exe" TargetMode="External"/><Relationship Id="rId1324" Type="http://schemas.openxmlformats.org/officeDocument/2006/relationships/hyperlink" Target="http://libbsc.com/" TargetMode="External"/><Relationship Id="rId1531" Type="http://schemas.openxmlformats.org/officeDocument/2006/relationships/hyperlink" Target="https://github.com/Cyan4973/zstd" TargetMode="External"/><Relationship Id="rId1769" Type="http://schemas.openxmlformats.org/officeDocument/2006/relationships/hyperlink" Target="https://encode.ru/attachment.php?attachmentid=5122&amp;d=1503087121" TargetMode="External"/><Relationship Id="rId30" Type="http://schemas.openxmlformats.org/officeDocument/2006/relationships/hyperlink" Target="http://encode.ru/attachment.php?attachmentid=3211&amp;d=1414109843" TargetMode="External"/><Relationship Id="rId1629" Type="http://schemas.openxmlformats.org/officeDocument/2006/relationships/hyperlink" Target="https://encode.ru/attachment.php?attachmentid=5131&amp;d=1503168357" TargetMode="External"/><Relationship Id="rId1836" Type="http://schemas.openxmlformats.org/officeDocument/2006/relationships/hyperlink" Target="https://encode.ru/attachment.php?attachmentid=5284&amp;d=1504849543" TargetMode="External"/><Relationship Id="rId1903" Type="http://schemas.openxmlformats.org/officeDocument/2006/relationships/hyperlink" Target="https://encode.ru/attachment.php?attachmentid=5435&amp;d=1508621284" TargetMode="External"/><Relationship Id="rId277" Type="http://schemas.openxmlformats.org/officeDocument/2006/relationships/hyperlink" Target="http://www.winzip.com/" TargetMode="External"/><Relationship Id="rId484" Type="http://schemas.openxmlformats.org/officeDocument/2006/relationships/hyperlink" Target="http://www.nanozip.net/" TargetMode="External"/><Relationship Id="rId137" Type="http://schemas.openxmlformats.org/officeDocument/2006/relationships/hyperlink" Target="http://encode.ru/attachment.php?attachmentid=1946&amp;d=1336895016" TargetMode="External"/><Relationship Id="rId344" Type="http://schemas.openxmlformats.org/officeDocument/2006/relationships/hyperlink" Target="ftp://ftp.sac.sk/pub/sac/pack/uharc06b.zip" TargetMode="External"/><Relationship Id="rId691" Type="http://schemas.openxmlformats.org/officeDocument/2006/relationships/hyperlink" Target="http://www.winzip.com/" TargetMode="External"/><Relationship Id="rId789" Type="http://schemas.openxmlformats.org/officeDocument/2006/relationships/hyperlink" Target="http://encode.ru/attachment.php?attachmentid=1946&amp;d=1336895016" TargetMode="External"/><Relationship Id="rId996" Type="http://schemas.openxmlformats.org/officeDocument/2006/relationships/hyperlink" Target="http://heartofcomp.altervista.org/packet1.9.zip" TargetMode="External"/><Relationship Id="rId551" Type="http://schemas.openxmlformats.org/officeDocument/2006/relationships/hyperlink" Target="http://www.rarlabs.com/" TargetMode="External"/><Relationship Id="rId649" Type="http://schemas.openxmlformats.org/officeDocument/2006/relationships/hyperlink" Target="https://github.com/Cyan4973/zstd" TargetMode="External"/><Relationship Id="rId856" Type="http://schemas.openxmlformats.org/officeDocument/2006/relationships/hyperlink" Target="http://libbsc.com/" TargetMode="External"/><Relationship Id="rId1181" Type="http://schemas.openxmlformats.org/officeDocument/2006/relationships/hyperlink" Target="https://github.com/schnaader/precomp-cpp/releases/download/v0.4.5/precomp.zip" TargetMode="External"/><Relationship Id="rId1279" Type="http://schemas.openxmlformats.org/officeDocument/2006/relationships/hyperlink" Target="http://www.nanozip.net/" TargetMode="External"/><Relationship Id="rId1486" Type="http://schemas.openxmlformats.org/officeDocument/2006/relationships/hyperlink" Target="http://www.7-zip.org/" TargetMode="External"/><Relationship Id="rId204" Type="http://schemas.openxmlformats.org/officeDocument/2006/relationships/hyperlink" Target="http://www.winzip.com/" TargetMode="External"/><Relationship Id="rId411" Type="http://schemas.openxmlformats.org/officeDocument/2006/relationships/hyperlink" Target="http://libbsc.com/" TargetMode="External"/><Relationship Id="rId509" Type="http://schemas.openxmlformats.org/officeDocument/2006/relationships/hyperlink" Target="http://encode.ru/attachment.php?attachmentid=1946&amp;d=1336895016" TargetMode="External"/><Relationship Id="rId1041" Type="http://schemas.openxmlformats.org/officeDocument/2006/relationships/hyperlink" Target="http://www.winzip.com/" TargetMode="External"/><Relationship Id="rId1139" Type="http://schemas.openxmlformats.org/officeDocument/2006/relationships/hyperlink" Target="http://encode.ru/attachment.php?attachmentid=4154&amp;d=1457802709" TargetMode="External"/><Relationship Id="rId1346" Type="http://schemas.openxmlformats.org/officeDocument/2006/relationships/hyperlink" Target="http://img.photographyblog.com/reviews/nikon_d3x/sample_images/nikon_d3x_08.nef" TargetMode="External"/><Relationship Id="rId1693" Type="http://schemas.openxmlformats.org/officeDocument/2006/relationships/hyperlink" Target="http://www.powerarchiver.com/" TargetMode="External"/><Relationship Id="rId716" Type="http://schemas.openxmlformats.org/officeDocument/2006/relationships/hyperlink" Target="http://encode.ru/attachment.php?attachmentid=4536&amp;d=1468876571" TargetMode="External"/><Relationship Id="rId923" Type="http://schemas.openxmlformats.org/officeDocument/2006/relationships/hyperlink" Target="http://encode.ru/attachment.php?attachmentid=1501&amp;d=1298990074" TargetMode="External"/><Relationship Id="rId1553" Type="http://schemas.openxmlformats.org/officeDocument/2006/relationships/hyperlink" Target="http://www.compression.ru/ds/" TargetMode="External"/><Relationship Id="rId1760" Type="http://schemas.openxmlformats.org/officeDocument/2006/relationships/hyperlink" Target="https://encode.ru/attachment.php?attachmentid=5122&amp;d=1503087121" TargetMode="External"/><Relationship Id="rId1858" Type="http://schemas.openxmlformats.org/officeDocument/2006/relationships/hyperlink" Target="https://encode.ru/attachment.php?attachmentid=5284&amp;d=1504849543" TargetMode="External"/><Relationship Id="rId52" Type="http://schemas.openxmlformats.org/officeDocument/2006/relationships/hyperlink" Target="http://www.nanozip.net/" TargetMode="External"/><Relationship Id="rId1206" Type="http://schemas.openxmlformats.org/officeDocument/2006/relationships/hyperlink" Target="http://nishi.dreamhosters.com/u/rawfilt_v1g.rar" TargetMode="External"/><Relationship Id="rId1413" Type="http://schemas.openxmlformats.org/officeDocument/2006/relationships/hyperlink" Target="http://encode.ru/attachment.php?attachmentid=4536&amp;d=1468876571" TargetMode="External"/><Relationship Id="rId1620" Type="http://schemas.openxmlformats.org/officeDocument/2006/relationships/hyperlink" Target="https://encode.ru/attachment.php?attachmentid=5131&amp;d=1503168357" TargetMode="External"/><Relationship Id="rId1718" Type="http://schemas.openxmlformats.org/officeDocument/2006/relationships/hyperlink" Target="https://encode.ru/attachment.php?attachmentid=5122&amp;d=1503087121" TargetMode="External"/><Relationship Id="rId299" Type="http://schemas.openxmlformats.org/officeDocument/2006/relationships/hyperlink" Target="http://www.winzip.com/" TargetMode="External"/><Relationship Id="rId159" Type="http://schemas.openxmlformats.org/officeDocument/2006/relationships/hyperlink" Target="http://nishi.dreamhosters.com/u/reflate_v0c1.rar" TargetMode="External"/><Relationship Id="rId366" Type="http://schemas.openxmlformats.org/officeDocument/2006/relationships/hyperlink" Target="http://www.7-zip.org/" TargetMode="External"/><Relationship Id="rId573" Type="http://schemas.openxmlformats.org/officeDocument/2006/relationships/hyperlink" Target="http://encode.ru/attachment.php?attachmentid=2361&amp;d=1371506860" TargetMode="External"/><Relationship Id="rId780" Type="http://schemas.openxmlformats.org/officeDocument/2006/relationships/hyperlink" Target="https://github.com/google/brotli" TargetMode="External"/><Relationship Id="rId226" Type="http://schemas.openxmlformats.org/officeDocument/2006/relationships/hyperlink" Target="http://www.emit.jp/dgca/dgca_e.html" TargetMode="External"/><Relationship Id="rId433" Type="http://schemas.openxmlformats.org/officeDocument/2006/relationships/hyperlink" Target="http://www.rarlabs.com/" TargetMode="External"/><Relationship Id="rId878" Type="http://schemas.openxmlformats.org/officeDocument/2006/relationships/hyperlink" Target="http://www.compression.ru/ds/" TargetMode="External"/><Relationship Id="rId1063" Type="http://schemas.openxmlformats.org/officeDocument/2006/relationships/hyperlink" Target="http://heartofcomp.altervista.org/zcm093.zip" TargetMode="External"/><Relationship Id="rId1270" Type="http://schemas.openxmlformats.org/officeDocument/2006/relationships/hyperlink" Target="http://rawzor.com/rawzor/" TargetMode="External"/><Relationship Id="rId640" Type="http://schemas.openxmlformats.org/officeDocument/2006/relationships/hyperlink" Target="https://github.com/Cyan4973/zstd" TargetMode="External"/><Relationship Id="rId738" Type="http://schemas.openxmlformats.org/officeDocument/2006/relationships/hyperlink" Target="http://heartofcomp.altervista.org/packet1.9.zip" TargetMode="External"/><Relationship Id="rId945" Type="http://schemas.openxmlformats.org/officeDocument/2006/relationships/hyperlink" Target="https://github.com/Cyan4973/zstd" TargetMode="External"/><Relationship Id="rId1368" Type="http://schemas.openxmlformats.org/officeDocument/2006/relationships/hyperlink" Target="https://github.com/schnaader/precomp-cpp/releases/download/v0.4.5/precomp.zip" TargetMode="External"/><Relationship Id="rId1575" Type="http://schemas.openxmlformats.org/officeDocument/2006/relationships/hyperlink" Target="https://encode.ru/attachment.php?attachmentid=5102&amp;d=1502725544" TargetMode="External"/><Relationship Id="rId1782" Type="http://schemas.openxmlformats.org/officeDocument/2006/relationships/hyperlink" Target="https://drive.google.com/drive/folders/0B_X1BeQ2TuWibTBmVG90S0k1bVE" TargetMode="External"/><Relationship Id="rId74" Type="http://schemas.openxmlformats.org/officeDocument/2006/relationships/hyperlink" Target="ftp://ftp.sac.sk/pub/sac/pack/uharc06b.zip" TargetMode="External"/><Relationship Id="rId500" Type="http://schemas.openxmlformats.org/officeDocument/2006/relationships/hyperlink" Target="http://cs.txstate.edu/~burtscher/research/datasets/FPdouble/" TargetMode="External"/><Relationship Id="rId805" Type="http://schemas.openxmlformats.org/officeDocument/2006/relationships/hyperlink" Target="http://freearc.org/" TargetMode="External"/><Relationship Id="rId1130" Type="http://schemas.openxmlformats.org/officeDocument/2006/relationships/hyperlink" Target="http://encode.ru/attachment.php?attachmentid=4154&amp;d=1457802709" TargetMode="External"/><Relationship Id="rId1228" Type="http://schemas.openxmlformats.org/officeDocument/2006/relationships/hyperlink" Target="http://nishi.dreamhosters.com/u/rawfilt_v1g.rar" TargetMode="External"/><Relationship Id="rId1435" Type="http://schemas.openxmlformats.org/officeDocument/2006/relationships/hyperlink" Target="https://github.com/hxim/paq8px" TargetMode="External"/><Relationship Id="rId1642" Type="http://schemas.openxmlformats.org/officeDocument/2006/relationships/hyperlink" Target="https://encode.ru/attachment.php?attachmentid=5131&amp;d=1503168357" TargetMode="External"/><Relationship Id="rId1502" Type="http://schemas.openxmlformats.org/officeDocument/2006/relationships/hyperlink" Target="http://ftp.sac.sk/sac/pack/wrar420.exe" TargetMode="External"/><Relationship Id="rId1807" Type="http://schemas.openxmlformats.org/officeDocument/2006/relationships/hyperlink" Target="https://encode.ru/attachment.php?attachmentid=5247&amp;d=1504524157" TargetMode="External"/><Relationship Id="rId290" Type="http://schemas.openxmlformats.org/officeDocument/2006/relationships/hyperlink" Target="ftp://ftp.sac.sk/pub/sac/pack/uharc06b.zip" TargetMode="External"/><Relationship Id="rId388" Type="http://schemas.openxmlformats.org/officeDocument/2006/relationships/hyperlink" Target="http://www.rarlabs.com/" TargetMode="External"/><Relationship Id="rId150" Type="http://schemas.openxmlformats.org/officeDocument/2006/relationships/hyperlink" Target="http://libbsc.com/" TargetMode="External"/><Relationship Id="rId595" Type="http://schemas.openxmlformats.org/officeDocument/2006/relationships/hyperlink" Target="https://drive.google.com/file/d/0ByLIAFlgldSoSWp0QnZUVHZpaG8/view?usp=sharing" TargetMode="External"/><Relationship Id="rId248" Type="http://schemas.openxmlformats.org/officeDocument/2006/relationships/hyperlink" Target="https://github.com/Diazonium/AntiZ" TargetMode="External"/><Relationship Id="rId455" Type="http://schemas.openxmlformats.org/officeDocument/2006/relationships/hyperlink" Target="http://sonimusicae.free.fr/Banques/SoniMusicae-Diato-sf2.zip" TargetMode="External"/><Relationship Id="rId662" Type="http://schemas.openxmlformats.org/officeDocument/2006/relationships/hyperlink" Target="https://github.com/hxim/paq8px" TargetMode="External"/><Relationship Id="rId1085" Type="http://schemas.openxmlformats.org/officeDocument/2006/relationships/hyperlink" Target="http://heartofcomp.altervista.org/zcm093.zip" TargetMode="External"/><Relationship Id="rId1292" Type="http://schemas.openxmlformats.org/officeDocument/2006/relationships/hyperlink" Target="http://www.emit.jp/dgca/dgca_e.html" TargetMode="External"/><Relationship Id="rId108" Type="http://schemas.openxmlformats.org/officeDocument/2006/relationships/hyperlink" Target="ftp://ftp.personalcopy.net/pub/SFPack.zip" TargetMode="External"/><Relationship Id="rId315" Type="http://schemas.openxmlformats.org/officeDocument/2006/relationships/hyperlink" Target="http://www.emit.jp/dgca/dgca_e.html" TargetMode="External"/><Relationship Id="rId522" Type="http://schemas.openxmlformats.org/officeDocument/2006/relationships/hyperlink" Target="http://www.rarlabs.com/" TargetMode="External"/><Relationship Id="rId967" Type="http://schemas.openxmlformats.org/officeDocument/2006/relationships/hyperlink" Target="https://github.com/Cyan4973/zstd" TargetMode="External"/><Relationship Id="rId1152" Type="http://schemas.openxmlformats.org/officeDocument/2006/relationships/hyperlink" Target="http://encode.ru/attachment.php?attachmentid=4154&amp;d=1457802709" TargetMode="External"/><Relationship Id="rId1597" Type="http://schemas.openxmlformats.org/officeDocument/2006/relationships/hyperlink" Target="https://encode.ru/attachment.php?attachmentid=5102&amp;d=1502725544" TargetMode="External"/><Relationship Id="rId96" Type="http://schemas.openxmlformats.org/officeDocument/2006/relationships/hyperlink" Target="http://bzip.org/" TargetMode="External"/><Relationship Id="rId827" Type="http://schemas.openxmlformats.org/officeDocument/2006/relationships/hyperlink" Target="http://www.emit.jp/dgca/dgca_e.html" TargetMode="External"/><Relationship Id="rId1012" Type="http://schemas.openxmlformats.org/officeDocument/2006/relationships/hyperlink" Target="http://www.rarlabs.com/" TargetMode="External"/><Relationship Id="rId1457" Type="http://schemas.openxmlformats.org/officeDocument/2006/relationships/hyperlink" Target="https://github.com/google/brotli" TargetMode="External"/><Relationship Id="rId1664" Type="http://schemas.openxmlformats.org/officeDocument/2006/relationships/hyperlink" Target="https://drive.google.com/open?id=0B_X1BeQ2TuWickxKMGVnQzFzTUE" TargetMode="External"/><Relationship Id="rId1871" Type="http://schemas.openxmlformats.org/officeDocument/2006/relationships/hyperlink" Target="https://encode.ru/attachment.php?attachmentid=5435&amp;d=1508621284" TargetMode="External"/><Relationship Id="rId1317" Type="http://schemas.openxmlformats.org/officeDocument/2006/relationships/hyperlink" Target="http://www.compression.ru/ds/" TargetMode="External"/><Relationship Id="rId1524" Type="http://schemas.openxmlformats.org/officeDocument/2006/relationships/hyperlink" Target="https://github.com/Cyan4973/zstd" TargetMode="External"/><Relationship Id="rId1731" Type="http://schemas.openxmlformats.org/officeDocument/2006/relationships/hyperlink" Target="https://drive.google.com/drive/folders/0B_X1BeQ2TuWibTBmVG90S0k1bVE" TargetMode="External"/><Relationship Id="rId23" Type="http://schemas.openxmlformats.org/officeDocument/2006/relationships/hyperlink" Target="http://encode.ru/attachment.php?attachmentid=3211&amp;d=1414109843" TargetMode="External"/><Relationship Id="rId1829" Type="http://schemas.openxmlformats.org/officeDocument/2006/relationships/hyperlink" Target="https://encode.ru/attachment.php?attachmentid=5284&amp;d=1504849543" TargetMode="External"/><Relationship Id="rId172" Type="http://schemas.openxmlformats.org/officeDocument/2006/relationships/hyperlink" Target="http://libbsc.com/" TargetMode="External"/><Relationship Id="rId477" Type="http://schemas.openxmlformats.org/officeDocument/2006/relationships/hyperlink" Target="http://www.7-zip.org/" TargetMode="External"/><Relationship Id="rId684" Type="http://schemas.openxmlformats.org/officeDocument/2006/relationships/hyperlink" Target="http://www.emit.jp/dgca/dgca_e.html" TargetMode="External"/><Relationship Id="rId337" Type="http://schemas.openxmlformats.org/officeDocument/2006/relationships/hyperlink" Target="http://www.winzip.com/" TargetMode="External"/><Relationship Id="rId891" Type="http://schemas.openxmlformats.org/officeDocument/2006/relationships/hyperlink" Target="http://heartofcomp.altervista.org/packet1.9.zip" TargetMode="External"/><Relationship Id="rId989" Type="http://schemas.openxmlformats.org/officeDocument/2006/relationships/hyperlink" Target="http://heartofcomp.altervista.org/packet1.9.zip" TargetMode="External"/><Relationship Id="rId544" Type="http://schemas.openxmlformats.org/officeDocument/2006/relationships/hyperlink" Target="http://encode.ru/attachment.php?attachmentid=2361&amp;d=1371506860" TargetMode="External"/><Relationship Id="rId751" Type="http://schemas.openxmlformats.org/officeDocument/2006/relationships/hyperlink" Target="https://github.com/google/brotli" TargetMode="External"/><Relationship Id="rId849" Type="http://schemas.openxmlformats.org/officeDocument/2006/relationships/hyperlink" Target="http://www.7-zip.org/" TargetMode="External"/><Relationship Id="rId1174" Type="http://schemas.openxmlformats.org/officeDocument/2006/relationships/hyperlink" Target="https://github.com/schnaader/precomp-cpp/releases/download/v0.4.5/precomp.zip" TargetMode="External"/><Relationship Id="rId1381" Type="http://schemas.openxmlformats.org/officeDocument/2006/relationships/hyperlink" Target="http://www.winzip.com/" TargetMode="External"/><Relationship Id="rId1479" Type="http://schemas.openxmlformats.org/officeDocument/2006/relationships/hyperlink" Target="http://encode.ru/attachment.php?attachmentid=4536&amp;d=1468876571" TargetMode="External"/><Relationship Id="rId1686" Type="http://schemas.openxmlformats.org/officeDocument/2006/relationships/hyperlink" Target="https://drive.google.com/drive/folders/0B_X1BeQ2TuWibTBmVG90S0k1bVE" TargetMode="External"/><Relationship Id="rId404" Type="http://schemas.openxmlformats.org/officeDocument/2006/relationships/hyperlink" Target="http://encode.ru/attachment.php?attachmentid=1501&amp;d=1298990074" TargetMode="External"/><Relationship Id="rId611" Type="http://schemas.openxmlformats.org/officeDocument/2006/relationships/hyperlink" Target="https://drive.google.com/file/d/0ByLIAFlgldSoMHdwWW11S2FQbXM/view?usp=sharing" TargetMode="External"/><Relationship Id="rId1034" Type="http://schemas.openxmlformats.org/officeDocument/2006/relationships/hyperlink" Target="http://nishi.dreamhosters.com/u/flifraw_v0.7z" TargetMode="External"/><Relationship Id="rId1241" Type="http://schemas.openxmlformats.org/officeDocument/2006/relationships/hyperlink" Target="https://drive.google.com/open?id=0B_X1BeQ2TuWiWVFVTnhMSFhiZHM" TargetMode="External"/><Relationship Id="rId1339" Type="http://schemas.openxmlformats.org/officeDocument/2006/relationships/hyperlink" Target="http://encode.ru/attachment.php?attachmentid=4648&amp;d=1474214539" TargetMode="External"/><Relationship Id="rId1893" Type="http://schemas.openxmlformats.org/officeDocument/2006/relationships/hyperlink" Target="https://encode.ru/attachment.php?attachmentid=5435&amp;d=1508621284" TargetMode="External"/><Relationship Id="rId709" Type="http://schemas.openxmlformats.org/officeDocument/2006/relationships/hyperlink" Target="http://encode.ru/attachment.php?attachmentid=4536&amp;d=1468876571" TargetMode="External"/><Relationship Id="rId916" Type="http://schemas.openxmlformats.org/officeDocument/2006/relationships/hyperlink" Target="http://encode.ru/attachment.php?attachmentid=4536&amp;d=1468876571" TargetMode="External"/><Relationship Id="rId1101" Type="http://schemas.openxmlformats.org/officeDocument/2006/relationships/hyperlink" Target="http://ftp.sac.sk/sac/pack/wrar420.exe" TargetMode="External"/><Relationship Id="rId1546" Type="http://schemas.openxmlformats.org/officeDocument/2006/relationships/hyperlink" Target="http://encode.ru/attachment.php?attachmentid=4661&amp;d=1474958346" TargetMode="External"/><Relationship Id="rId1753" Type="http://schemas.openxmlformats.org/officeDocument/2006/relationships/hyperlink" Target="http://www.powerarchiver.com/" TargetMode="External"/><Relationship Id="rId45" Type="http://schemas.openxmlformats.org/officeDocument/2006/relationships/hyperlink" Target="http://schnaader.info/precomp.php" TargetMode="External"/><Relationship Id="rId1406" Type="http://schemas.openxmlformats.org/officeDocument/2006/relationships/hyperlink" Target="https://github.com/Cyan4973/zstd" TargetMode="External"/><Relationship Id="rId1613" Type="http://schemas.openxmlformats.org/officeDocument/2006/relationships/hyperlink" Target="https://encode.ru/attachment.php?attachmentid=5131&amp;d=1503168357" TargetMode="External"/><Relationship Id="rId1820" Type="http://schemas.openxmlformats.org/officeDocument/2006/relationships/hyperlink" Target="https://encode.ru/attachment.php?attachmentid=5284&amp;d=1504849543" TargetMode="External"/><Relationship Id="rId194" Type="http://schemas.openxmlformats.org/officeDocument/2006/relationships/hyperlink" Target="ftp://ftp.personalcopy.net/pub/SFPack.zip" TargetMode="External"/><Relationship Id="rId261" Type="http://schemas.openxmlformats.org/officeDocument/2006/relationships/hyperlink" Target="http://www.winace.com/" TargetMode="External"/><Relationship Id="rId499" Type="http://schemas.openxmlformats.org/officeDocument/2006/relationships/hyperlink" Target="http://heartofcomp.altervista.org/zcm092.zip" TargetMode="External"/><Relationship Id="rId359" Type="http://schemas.openxmlformats.org/officeDocument/2006/relationships/hyperlink" Target="http://freearc.org/" TargetMode="External"/><Relationship Id="rId566" Type="http://schemas.openxmlformats.org/officeDocument/2006/relationships/hyperlink" Target="http://encode.ru/attachment.php?attachmentid=2361&amp;d=1371506860" TargetMode="External"/><Relationship Id="rId773" Type="http://schemas.openxmlformats.org/officeDocument/2006/relationships/hyperlink" Target="https://github.com/google/brotli" TargetMode="External"/><Relationship Id="rId1196" Type="http://schemas.openxmlformats.org/officeDocument/2006/relationships/hyperlink" Target="http://nishi.dreamhosters.com/u/rawfilt_v1g.rar" TargetMode="External"/><Relationship Id="rId121" Type="http://schemas.openxmlformats.org/officeDocument/2006/relationships/hyperlink" Target="http://www.winzip.com/" TargetMode="External"/><Relationship Id="rId219" Type="http://schemas.openxmlformats.org/officeDocument/2006/relationships/hyperlink" Target="http://code.google.com/p/lzham/" TargetMode="External"/><Relationship Id="rId426" Type="http://schemas.openxmlformats.org/officeDocument/2006/relationships/hyperlink" Target="http://schnaader.info/precomp.php" TargetMode="External"/><Relationship Id="rId633" Type="http://schemas.openxmlformats.org/officeDocument/2006/relationships/hyperlink" Target="https://github.com/Cyan4973/zstd" TargetMode="External"/><Relationship Id="rId980" Type="http://schemas.openxmlformats.org/officeDocument/2006/relationships/hyperlink" Target="https://github.com/google/brotli" TargetMode="External"/><Relationship Id="rId1056" Type="http://schemas.openxmlformats.org/officeDocument/2006/relationships/hyperlink" Target="http://heartofcomp.altervista.org/zcm093.zip" TargetMode="External"/><Relationship Id="rId1263" Type="http://schemas.openxmlformats.org/officeDocument/2006/relationships/hyperlink" Target="http://libbsc.com/" TargetMode="External"/><Relationship Id="rId840" Type="http://schemas.openxmlformats.org/officeDocument/2006/relationships/hyperlink" Target="http://heartofcomp.altervista.org/packet1.9.zip" TargetMode="External"/><Relationship Id="rId938" Type="http://schemas.openxmlformats.org/officeDocument/2006/relationships/hyperlink" Target="https://github.com/hxim/paq8px" TargetMode="External"/><Relationship Id="rId1470" Type="http://schemas.openxmlformats.org/officeDocument/2006/relationships/hyperlink" Target="http://www.nanozip.net/" TargetMode="External"/><Relationship Id="rId1568" Type="http://schemas.openxmlformats.org/officeDocument/2006/relationships/hyperlink" Target="https://encode.ru/attachment.php?attachmentid=5102&amp;d=1502725544" TargetMode="External"/><Relationship Id="rId1775" Type="http://schemas.openxmlformats.org/officeDocument/2006/relationships/hyperlink" Target="https://encode.ru/attachment.php?attachmentid=5122&amp;d=1503087121" TargetMode="External"/><Relationship Id="rId67" Type="http://schemas.openxmlformats.org/officeDocument/2006/relationships/hyperlink" Target="http://www.7-zip.org/" TargetMode="External"/><Relationship Id="rId700" Type="http://schemas.openxmlformats.org/officeDocument/2006/relationships/hyperlink" Target="https://github.com/Cyan4973/zstd" TargetMode="External"/><Relationship Id="rId1123" Type="http://schemas.openxmlformats.org/officeDocument/2006/relationships/hyperlink" Target="http://encode.ru/attachment.php?attachmentid=4154&amp;d=1457802709" TargetMode="External"/><Relationship Id="rId1330" Type="http://schemas.openxmlformats.org/officeDocument/2006/relationships/hyperlink" Target="https://github.com/hxim/paq8px" TargetMode="External"/><Relationship Id="rId1428" Type="http://schemas.openxmlformats.org/officeDocument/2006/relationships/hyperlink" Target="http://freearc.org/" TargetMode="External"/><Relationship Id="rId1635" Type="http://schemas.openxmlformats.org/officeDocument/2006/relationships/hyperlink" Target="https://encode.ru/attachment.php?attachmentid=5131&amp;d=1503168357" TargetMode="External"/><Relationship Id="rId1842" Type="http://schemas.openxmlformats.org/officeDocument/2006/relationships/hyperlink" Target="https://encode.ru/attachment.php?attachmentid=5284&amp;d=1504849543" TargetMode="External"/><Relationship Id="rId1702" Type="http://schemas.openxmlformats.org/officeDocument/2006/relationships/hyperlink" Target="http://www.powerarchiver.com/" TargetMode="External"/><Relationship Id="rId283" Type="http://schemas.openxmlformats.org/officeDocument/2006/relationships/hyperlink" Target="http://libbsc.com/" TargetMode="External"/><Relationship Id="rId490" Type="http://schemas.openxmlformats.org/officeDocument/2006/relationships/hyperlink" Target="http://encode.ru/attachment.php?attachmentid=1946&amp;d=1336895016" TargetMode="External"/><Relationship Id="rId143" Type="http://schemas.openxmlformats.org/officeDocument/2006/relationships/hyperlink" Target="http://www.7-zip.org/" TargetMode="External"/><Relationship Id="rId350" Type="http://schemas.openxmlformats.org/officeDocument/2006/relationships/hyperlink" Target="http://sagamusix.de/download/starlit_night/mod/" TargetMode="External"/><Relationship Id="rId588" Type="http://schemas.openxmlformats.org/officeDocument/2006/relationships/hyperlink" Target="http://encode.ru/attachment.php?attachmentid=2361&amp;d=1371506860" TargetMode="External"/><Relationship Id="rId795" Type="http://schemas.openxmlformats.org/officeDocument/2006/relationships/hyperlink" Target="http://libbsc.com/" TargetMode="External"/><Relationship Id="rId9" Type="http://schemas.openxmlformats.org/officeDocument/2006/relationships/hyperlink" Target="http://www.un4seen.com/mo3.html" TargetMode="External"/><Relationship Id="rId210" Type="http://schemas.openxmlformats.org/officeDocument/2006/relationships/hyperlink" Target="http://libbsc.com/" TargetMode="External"/><Relationship Id="rId448" Type="http://schemas.openxmlformats.org/officeDocument/2006/relationships/hyperlink" Target="http://www.winzip.com/" TargetMode="External"/><Relationship Id="rId655" Type="http://schemas.openxmlformats.org/officeDocument/2006/relationships/hyperlink" Target="https://github.com/hxim/paq8px" TargetMode="External"/><Relationship Id="rId862" Type="http://schemas.openxmlformats.org/officeDocument/2006/relationships/hyperlink" Target="https://drive.google.com/file/d/0ByLIAFlgldSoWkU0OWxMNTBuYXM/view?usp=sharing" TargetMode="External"/><Relationship Id="rId1078" Type="http://schemas.openxmlformats.org/officeDocument/2006/relationships/hyperlink" Target="http://heartofcomp.altervista.org/zcm093.zip" TargetMode="External"/><Relationship Id="rId1285" Type="http://schemas.openxmlformats.org/officeDocument/2006/relationships/hyperlink" Target="http://www.compression.ru/ds/" TargetMode="External"/><Relationship Id="rId1492" Type="http://schemas.openxmlformats.org/officeDocument/2006/relationships/hyperlink" Target="http://libbsc.com/" TargetMode="External"/><Relationship Id="rId308" Type="http://schemas.openxmlformats.org/officeDocument/2006/relationships/hyperlink" Target="http://code.google.com/p/lzham/" TargetMode="External"/><Relationship Id="rId515" Type="http://schemas.openxmlformats.org/officeDocument/2006/relationships/hyperlink" Target="http://bzip.org/" TargetMode="External"/><Relationship Id="rId722" Type="http://schemas.openxmlformats.org/officeDocument/2006/relationships/hyperlink" Target="http://encode.ru/attachment.php?attachmentid=4536&amp;d=1468876571" TargetMode="External"/><Relationship Id="rId1145" Type="http://schemas.openxmlformats.org/officeDocument/2006/relationships/hyperlink" Target="http://encode.ru/attachment.php?attachmentid=4154&amp;d=1457802709" TargetMode="External"/><Relationship Id="rId1352" Type="http://schemas.openxmlformats.org/officeDocument/2006/relationships/hyperlink" Target="http://www.winzip.com/" TargetMode="External"/><Relationship Id="rId1797" Type="http://schemas.openxmlformats.org/officeDocument/2006/relationships/hyperlink" Target="https://drive.google.com/drive/folders/0B_X1BeQ2TuWibTBmVG90S0k1bVE" TargetMode="External"/><Relationship Id="rId89" Type="http://schemas.openxmlformats.org/officeDocument/2006/relationships/hyperlink" Target="http://libbsc.com/" TargetMode="External"/><Relationship Id="rId1005" Type="http://schemas.openxmlformats.org/officeDocument/2006/relationships/hyperlink" Target="https://drive.google.com/file/d/0ByLIAFlgldSoc05OSkdlWUNJclk/view?usp=sharing" TargetMode="External"/><Relationship Id="rId1212" Type="http://schemas.openxmlformats.org/officeDocument/2006/relationships/hyperlink" Target="http://nishi.dreamhosters.com/u/rawfilt_v1g.rar" TargetMode="External"/><Relationship Id="rId1657" Type="http://schemas.openxmlformats.org/officeDocument/2006/relationships/hyperlink" Target="https://drive.google.com/open?id=0B_X1BeQ2TuWickxKMGVnQzFzTUE" TargetMode="External"/><Relationship Id="rId1864" Type="http://schemas.openxmlformats.org/officeDocument/2006/relationships/hyperlink" Target="https://encode.ru/attachment.php?attachmentid=5397&amp;d=1507656823" TargetMode="External"/><Relationship Id="rId1517" Type="http://schemas.openxmlformats.org/officeDocument/2006/relationships/hyperlink" Target="http://www.rarlabs.com/" TargetMode="External"/><Relationship Id="rId1724" Type="http://schemas.openxmlformats.org/officeDocument/2006/relationships/hyperlink" Target="https://encode.ru/attachment.php?attachmentid=5122&amp;d=1503087121" TargetMode="External"/><Relationship Id="rId16" Type="http://schemas.openxmlformats.org/officeDocument/2006/relationships/hyperlink" Target="http://encode.ru/attachment.php?attachmentid=3211&amp;d=1414109843" TargetMode="External"/><Relationship Id="rId165" Type="http://schemas.openxmlformats.org/officeDocument/2006/relationships/hyperlink" Target="http://www.7-zip.org/" TargetMode="External"/><Relationship Id="rId372" Type="http://schemas.openxmlformats.org/officeDocument/2006/relationships/hyperlink" Target="http://nishi.dreamhosters.com/u/reflate_v0c1.rar" TargetMode="External"/><Relationship Id="rId677" Type="http://schemas.openxmlformats.org/officeDocument/2006/relationships/hyperlink" Target="https://github.com/hxim/paq8px" TargetMode="External"/><Relationship Id="rId232" Type="http://schemas.openxmlformats.org/officeDocument/2006/relationships/hyperlink" Target="http://www.nanozip.net/" TargetMode="External"/><Relationship Id="rId884" Type="http://schemas.openxmlformats.org/officeDocument/2006/relationships/hyperlink" Target="http://freearc.org/" TargetMode="External"/><Relationship Id="rId537" Type="http://schemas.openxmlformats.org/officeDocument/2006/relationships/hyperlink" Target="http://www.compression.ru/ds/" TargetMode="External"/><Relationship Id="rId744" Type="http://schemas.openxmlformats.org/officeDocument/2006/relationships/hyperlink" Target="http://heartofcomp.altervista.org/packet1.9.zip" TargetMode="External"/><Relationship Id="rId951" Type="http://schemas.openxmlformats.org/officeDocument/2006/relationships/hyperlink" Target="https://github.com/Cyan4973/zstd" TargetMode="External"/><Relationship Id="rId1167" Type="http://schemas.openxmlformats.org/officeDocument/2006/relationships/hyperlink" Target="https://github.com/schnaader/precomp-cpp/releases/download/v0.4.5/precomp.zip" TargetMode="External"/><Relationship Id="rId1374" Type="http://schemas.openxmlformats.org/officeDocument/2006/relationships/hyperlink" Target="http://nishi.dreamhosters.com/u/reflate_v0c1.rar" TargetMode="External"/><Relationship Id="rId1581" Type="http://schemas.openxmlformats.org/officeDocument/2006/relationships/hyperlink" Target="https://encode.ru/attachment.php?attachmentid=5102&amp;d=1502725544" TargetMode="External"/><Relationship Id="rId1679" Type="http://schemas.openxmlformats.org/officeDocument/2006/relationships/hyperlink" Target="https://encode.ru/attachment.php?attachmentid=5122&amp;d=1503087121" TargetMode="External"/><Relationship Id="rId80" Type="http://schemas.openxmlformats.org/officeDocument/2006/relationships/hyperlink" Target="http://www.winace.com/" TargetMode="External"/><Relationship Id="rId604" Type="http://schemas.openxmlformats.org/officeDocument/2006/relationships/hyperlink" Target="https://drive.google.com/file/d/0ByLIAFlgldSoMVMwaXdiRlZ0UnM/view?usp=sharing" TargetMode="External"/><Relationship Id="rId811" Type="http://schemas.openxmlformats.org/officeDocument/2006/relationships/hyperlink" Target="http://encode.ru/attachment.php?attachmentid=4536&amp;d=1468876571" TargetMode="External"/><Relationship Id="rId1027" Type="http://schemas.openxmlformats.org/officeDocument/2006/relationships/hyperlink" Target="http://schnaader.info/precomp.php" TargetMode="External"/><Relationship Id="rId1234" Type="http://schemas.openxmlformats.org/officeDocument/2006/relationships/hyperlink" Target="http://encode.ru/attachment.php?attachmentid=4648&amp;d=1474214539" TargetMode="External"/><Relationship Id="rId1441" Type="http://schemas.openxmlformats.org/officeDocument/2006/relationships/hyperlink" Target="http://heartofcomp.altervista.org/packet1.9.zip" TargetMode="External"/><Relationship Id="rId1886" Type="http://schemas.openxmlformats.org/officeDocument/2006/relationships/hyperlink" Target="https://encode.ru/attachment.php?attachmentid=5435&amp;d=1508621284" TargetMode="External"/><Relationship Id="rId909" Type="http://schemas.openxmlformats.org/officeDocument/2006/relationships/hyperlink" Target="http://libbsc.com/" TargetMode="External"/><Relationship Id="rId1301" Type="http://schemas.openxmlformats.org/officeDocument/2006/relationships/hyperlink" Target="http://heartofcomp.altervista.org/zcm093.zip" TargetMode="External"/><Relationship Id="rId1539" Type="http://schemas.openxmlformats.org/officeDocument/2006/relationships/hyperlink" Target="http://encode.ru/attachment.php?attachmentid=4661&amp;d=1474958346" TargetMode="External"/><Relationship Id="rId1746" Type="http://schemas.openxmlformats.org/officeDocument/2006/relationships/hyperlink" Target="https://drive.google.com/drive/folders/0B_X1BeQ2TuWibTBmVG90S0k1bVE" TargetMode="External"/><Relationship Id="rId38" Type="http://schemas.openxmlformats.org/officeDocument/2006/relationships/hyperlink" Target="http://encode.ru/attachment.php?attachmentid=1946&amp;d=1336895016" TargetMode="External"/><Relationship Id="rId1606" Type="http://schemas.openxmlformats.org/officeDocument/2006/relationships/hyperlink" Target="https://encode.ru/attachment.php?attachmentid=5102&amp;d=1502725544" TargetMode="External"/><Relationship Id="rId1813" Type="http://schemas.openxmlformats.org/officeDocument/2006/relationships/hyperlink" Target="https://encode.ru/attachment.php?attachmentid=5247&amp;d=1504524157" TargetMode="External"/><Relationship Id="rId187" Type="http://schemas.openxmlformats.org/officeDocument/2006/relationships/hyperlink" Target="http://mattmahoney.net/dc/zpaq.html" TargetMode="External"/><Relationship Id="rId394" Type="http://schemas.openxmlformats.org/officeDocument/2006/relationships/hyperlink" Target="http://www.7-zip.org/" TargetMode="External"/><Relationship Id="rId254" Type="http://schemas.openxmlformats.org/officeDocument/2006/relationships/hyperlink" Target="http://www.rarlabs.com/" TargetMode="External"/><Relationship Id="rId699" Type="http://schemas.openxmlformats.org/officeDocument/2006/relationships/hyperlink" Target="http://encode.ru/attachment.php?attachmentid=2361&amp;d=1371506860" TargetMode="External"/><Relationship Id="rId1091" Type="http://schemas.openxmlformats.org/officeDocument/2006/relationships/hyperlink" Target="http://ftp.sac.sk/sac/pack/wrar420.exe" TargetMode="External"/><Relationship Id="rId114" Type="http://schemas.openxmlformats.org/officeDocument/2006/relationships/hyperlink" Target="http://encode.ru/attachment.php?attachmentid=1946&amp;d=1336895016" TargetMode="External"/><Relationship Id="rId461" Type="http://schemas.openxmlformats.org/officeDocument/2006/relationships/hyperlink" Target="http://encode.ru/attachment.php?attachmentid=2361&amp;d=1371506860" TargetMode="External"/><Relationship Id="rId559" Type="http://schemas.openxmlformats.org/officeDocument/2006/relationships/hyperlink" Target="http://libbsc.com/" TargetMode="External"/><Relationship Id="rId766" Type="http://schemas.openxmlformats.org/officeDocument/2006/relationships/hyperlink" Target="http://heartofcomp.altervista.org/packet1.9.zip" TargetMode="External"/><Relationship Id="rId1189" Type="http://schemas.openxmlformats.org/officeDocument/2006/relationships/hyperlink" Target="https://github.com/schnaader/precomp-cpp/releases/download/v0.4.5/precomp.zip" TargetMode="External"/><Relationship Id="rId1396" Type="http://schemas.openxmlformats.org/officeDocument/2006/relationships/hyperlink" Target="http://encode.ru/attachment.php?attachmentid=4536&amp;d=1468876571" TargetMode="External"/><Relationship Id="rId321" Type="http://schemas.openxmlformats.org/officeDocument/2006/relationships/hyperlink" Target="http://encode.ru/attachment.php?attachmentid=3211&amp;d=1414109843" TargetMode="External"/><Relationship Id="rId419" Type="http://schemas.openxmlformats.org/officeDocument/2006/relationships/hyperlink" Target="http://www.emit.jp/dgca/dgca_e.html" TargetMode="External"/><Relationship Id="rId626" Type="http://schemas.openxmlformats.org/officeDocument/2006/relationships/hyperlink" Target="https://github.com/Cyan4973/zstd" TargetMode="External"/><Relationship Id="rId973" Type="http://schemas.openxmlformats.org/officeDocument/2006/relationships/hyperlink" Target="https://github.com/hxim/paq8px" TargetMode="External"/><Relationship Id="rId1049" Type="http://schemas.openxmlformats.org/officeDocument/2006/relationships/hyperlink" Target="http://heartofcomp.altervista.org/zcm093.zip" TargetMode="External"/><Relationship Id="rId1256" Type="http://schemas.openxmlformats.org/officeDocument/2006/relationships/hyperlink" Target="http://code.google.com/p/lzham/" TargetMode="External"/><Relationship Id="rId833" Type="http://schemas.openxmlformats.org/officeDocument/2006/relationships/hyperlink" Target="https://github.com/hxim/paq8px" TargetMode="External"/><Relationship Id="rId1116" Type="http://schemas.openxmlformats.org/officeDocument/2006/relationships/hyperlink" Target="http://ftp.sac.sk/sac/pack/wrar420.exe" TargetMode="External"/><Relationship Id="rId1463" Type="http://schemas.openxmlformats.org/officeDocument/2006/relationships/hyperlink" Target="http://rawzor.com/rawzor/" TargetMode="External"/><Relationship Id="rId1670" Type="http://schemas.openxmlformats.org/officeDocument/2006/relationships/hyperlink" Target="https://encode.ru/attachment.php?attachmentid=5122&amp;d=1503087121" TargetMode="External"/><Relationship Id="rId1768" Type="http://schemas.openxmlformats.org/officeDocument/2006/relationships/hyperlink" Target="http://www.powerarchiver.com/" TargetMode="External"/><Relationship Id="rId900" Type="http://schemas.openxmlformats.org/officeDocument/2006/relationships/hyperlink" Target="http://nishi.dreamhosters.com/u/reflate_v0c1.rar" TargetMode="External"/><Relationship Id="rId1323" Type="http://schemas.openxmlformats.org/officeDocument/2006/relationships/hyperlink" Target="http://freearc.org/" TargetMode="External"/><Relationship Id="rId1530" Type="http://schemas.openxmlformats.org/officeDocument/2006/relationships/hyperlink" Target="https://github.com/Cyan4973/zstd" TargetMode="External"/><Relationship Id="rId1628" Type="http://schemas.openxmlformats.org/officeDocument/2006/relationships/hyperlink" Target="https://encode.ru/attachment.php?attachmentid=5131&amp;d=1503168357" TargetMode="External"/><Relationship Id="rId1835" Type="http://schemas.openxmlformats.org/officeDocument/2006/relationships/hyperlink" Target="https://encode.ru/attachment.php?attachmentid=5284&amp;d=1504849543" TargetMode="External"/><Relationship Id="rId1902" Type="http://schemas.openxmlformats.org/officeDocument/2006/relationships/hyperlink" Target="https://encode.ru/attachment.php?attachmentid=5435&amp;d=1508621284" TargetMode="External"/><Relationship Id="rId276" Type="http://schemas.openxmlformats.org/officeDocument/2006/relationships/hyperlink" Target="http://www.winzip.com/" TargetMode="External"/><Relationship Id="rId483" Type="http://schemas.openxmlformats.org/officeDocument/2006/relationships/hyperlink" Target="http://encode.ru/attachment.php?attachmentid=3211&amp;d=1414109843" TargetMode="External"/><Relationship Id="rId690" Type="http://schemas.openxmlformats.org/officeDocument/2006/relationships/hyperlink" Target="http://www.7-zip.org/" TargetMode="External"/><Relationship Id="rId136" Type="http://schemas.openxmlformats.org/officeDocument/2006/relationships/hyperlink" Target="http://encode.ru/attachment.php?attachmentid=3211&amp;d=1414109843" TargetMode="External"/><Relationship Id="rId343" Type="http://schemas.openxmlformats.org/officeDocument/2006/relationships/hyperlink" Target="http://encode.ru/attachment.php?attachmentid=1946&amp;d=1336895016" TargetMode="External"/><Relationship Id="rId550" Type="http://schemas.openxmlformats.org/officeDocument/2006/relationships/hyperlink" Target="ftp://ftp.sac.sk/pub/sac/pack/uharc06b.zip" TargetMode="External"/><Relationship Id="rId788" Type="http://schemas.openxmlformats.org/officeDocument/2006/relationships/hyperlink" Target="http://ftp.sac.sk/sac/pack/uharc06b.zip" TargetMode="External"/><Relationship Id="rId995" Type="http://schemas.openxmlformats.org/officeDocument/2006/relationships/hyperlink" Target="https://github.com/google/brotli" TargetMode="External"/><Relationship Id="rId1180" Type="http://schemas.openxmlformats.org/officeDocument/2006/relationships/hyperlink" Target="https://github.com/schnaader/precomp-cpp/releases/download/v0.4.5/precomp.zip" TargetMode="External"/><Relationship Id="rId203" Type="http://schemas.openxmlformats.org/officeDocument/2006/relationships/hyperlink" Target="http://www.7-zip.org/" TargetMode="External"/><Relationship Id="rId648" Type="http://schemas.openxmlformats.org/officeDocument/2006/relationships/hyperlink" Target="https://github.com/Cyan4973/zstd" TargetMode="External"/><Relationship Id="rId855" Type="http://schemas.openxmlformats.org/officeDocument/2006/relationships/hyperlink" Target="http://www.emit.jp/dgca/dgca_e.html" TargetMode="External"/><Relationship Id="rId1040" Type="http://schemas.openxmlformats.org/officeDocument/2006/relationships/hyperlink" Target="http://www.winzip.com/" TargetMode="External"/><Relationship Id="rId1278" Type="http://schemas.openxmlformats.org/officeDocument/2006/relationships/hyperlink" Target="http://encode.ru/attachment.php?attachmentid=1946&amp;d=1336895016" TargetMode="External"/><Relationship Id="rId1485" Type="http://schemas.openxmlformats.org/officeDocument/2006/relationships/hyperlink" Target="http://code.google.com/p/lzham/" TargetMode="External"/><Relationship Id="rId1692" Type="http://schemas.openxmlformats.org/officeDocument/2006/relationships/hyperlink" Target="https://drive.google.com/drive/folders/0B_X1BeQ2TuWibTBmVG90S0k1bVE" TargetMode="External"/><Relationship Id="rId410" Type="http://schemas.openxmlformats.org/officeDocument/2006/relationships/hyperlink" Target="http://www.winzip.com/" TargetMode="External"/><Relationship Id="rId508" Type="http://schemas.openxmlformats.org/officeDocument/2006/relationships/hyperlink" Target="http://encode.ru/attachment.php?attachmentid=1946&amp;d=1336895016" TargetMode="External"/><Relationship Id="rId715" Type="http://schemas.openxmlformats.org/officeDocument/2006/relationships/hyperlink" Target="http://encode.ru/attachment.php?attachmentid=4536&amp;d=1468876571" TargetMode="External"/><Relationship Id="rId922" Type="http://schemas.openxmlformats.org/officeDocument/2006/relationships/hyperlink" Target="http://www.rawzor.com/" TargetMode="External"/><Relationship Id="rId1138" Type="http://schemas.openxmlformats.org/officeDocument/2006/relationships/hyperlink" Target="http://encode.ru/attachment.php?attachmentid=4154&amp;d=1457802709" TargetMode="External"/><Relationship Id="rId1345" Type="http://schemas.openxmlformats.org/officeDocument/2006/relationships/hyperlink" Target="http://www.emit.jp/dgca/dgca_e.html" TargetMode="External"/><Relationship Id="rId1552" Type="http://schemas.openxmlformats.org/officeDocument/2006/relationships/hyperlink" Target="http://www.compression.ru/ds/" TargetMode="External"/><Relationship Id="rId1205" Type="http://schemas.openxmlformats.org/officeDocument/2006/relationships/hyperlink" Target="http://nishi.dreamhosters.com/u/rawfilt_v1g.rar" TargetMode="External"/><Relationship Id="rId1857" Type="http://schemas.openxmlformats.org/officeDocument/2006/relationships/hyperlink" Target="https://encode.ru/attachment.php?attachmentid=5284&amp;d=1504849543" TargetMode="External"/><Relationship Id="rId51" Type="http://schemas.openxmlformats.org/officeDocument/2006/relationships/hyperlink" Target="http://www.nanozip.net/" TargetMode="External"/><Relationship Id="rId1412" Type="http://schemas.openxmlformats.org/officeDocument/2006/relationships/hyperlink" Target="http://encode.ru/attachment.php?attachmentid=4536&amp;d=1468876571" TargetMode="External"/><Relationship Id="rId1717" Type="http://schemas.openxmlformats.org/officeDocument/2006/relationships/hyperlink" Target="http://www.powerarchiver.com/" TargetMode="External"/><Relationship Id="rId298" Type="http://schemas.openxmlformats.org/officeDocument/2006/relationships/hyperlink" Target="http://www.winzip.com/" TargetMode="External"/><Relationship Id="rId158" Type="http://schemas.openxmlformats.org/officeDocument/2006/relationships/hyperlink" Target="http://encode.ru/attachment.php?attachmentid=1946&amp;d=1336895016" TargetMode="External"/><Relationship Id="rId365" Type="http://schemas.openxmlformats.org/officeDocument/2006/relationships/hyperlink" Target="http://code.google.com/p/lzham/" TargetMode="External"/><Relationship Id="rId572" Type="http://schemas.openxmlformats.org/officeDocument/2006/relationships/hyperlink" Target="http://encode.ru/attachment.php?attachmentid=2361&amp;d=1371506860" TargetMode="External"/><Relationship Id="rId225" Type="http://schemas.openxmlformats.org/officeDocument/2006/relationships/hyperlink" Target="http://freearc.org/" TargetMode="External"/><Relationship Id="rId432" Type="http://schemas.openxmlformats.org/officeDocument/2006/relationships/hyperlink" Target="ftp://ftp.sac.sk/pub/sac/pack/uharc06b.zip" TargetMode="External"/><Relationship Id="rId877" Type="http://schemas.openxmlformats.org/officeDocument/2006/relationships/hyperlink" Target="http://code.google.com/p/lzham/" TargetMode="External"/><Relationship Id="rId1062" Type="http://schemas.openxmlformats.org/officeDocument/2006/relationships/hyperlink" Target="http://heartofcomp.altervista.org/zcm093.zip" TargetMode="External"/><Relationship Id="rId737" Type="http://schemas.openxmlformats.org/officeDocument/2006/relationships/hyperlink" Target="https://github.com/google/brotli" TargetMode="External"/><Relationship Id="rId944" Type="http://schemas.openxmlformats.org/officeDocument/2006/relationships/hyperlink" Target="https://github.com/Cyan4973/zstd" TargetMode="External"/><Relationship Id="rId1367" Type="http://schemas.openxmlformats.org/officeDocument/2006/relationships/hyperlink" Target="http://encode.ru/attachment.php?attachmentid=4154&amp;d=1457802709" TargetMode="External"/><Relationship Id="rId1574" Type="http://schemas.openxmlformats.org/officeDocument/2006/relationships/hyperlink" Target="https://encode.ru/attachment.php?attachmentid=5102&amp;d=1502725544" TargetMode="External"/><Relationship Id="rId1781" Type="http://schemas.openxmlformats.org/officeDocument/2006/relationships/hyperlink" Target="https://encode.ru/attachment.php?attachmentid=5122&amp;d=1503087121" TargetMode="External"/><Relationship Id="rId73" Type="http://schemas.openxmlformats.org/officeDocument/2006/relationships/hyperlink" Target="http://www.winzip.com/" TargetMode="External"/><Relationship Id="rId804" Type="http://schemas.openxmlformats.org/officeDocument/2006/relationships/hyperlink" Target="http://www.winace.com/" TargetMode="External"/><Relationship Id="rId1227" Type="http://schemas.openxmlformats.org/officeDocument/2006/relationships/hyperlink" Target="http://nishi.dreamhosters.com/u/rawfilt_v1g.rar" TargetMode="External"/><Relationship Id="rId1434" Type="http://schemas.openxmlformats.org/officeDocument/2006/relationships/hyperlink" Target="https://github.com/hxim/paq8px" TargetMode="External"/><Relationship Id="rId1641" Type="http://schemas.openxmlformats.org/officeDocument/2006/relationships/hyperlink" Target="https://encode.ru/attachment.php?attachmentid=5131&amp;d=1503168357" TargetMode="External"/><Relationship Id="rId1879" Type="http://schemas.openxmlformats.org/officeDocument/2006/relationships/hyperlink" Target="https://encode.ru/attachment.php?attachmentid=5435&amp;d=1508621284" TargetMode="External"/><Relationship Id="rId1501" Type="http://schemas.openxmlformats.org/officeDocument/2006/relationships/hyperlink" Target="http://heartofcomp.altervista.org/zcm093.zip" TargetMode="External"/><Relationship Id="rId1739" Type="http://schemas.openxmlformats.org/officeDocument/2006/relationships/hyperlink" Target="https://encode.ru/attachment.php?attachmentid=5122&amp;d=1503087121" TargetMode="External"/><Relationship Id="rId1806" Type="http://schemas.openxmlformats.org/officeDocument/2006/relationships/hyperlink" Target="https://encode.ru/attachment.php?attachmentid=5247&amp;d=1504524157" TargetMode="External"/><Relationship Id="rId387" Type="http://schemas.openxmlformats.org/officeDocument/2006/relationships/hyperlink" Target="http://encode.ru/attachment.php?attachmentid=2361&amp;d=1371506860" TargetMode="External"/><Relationship Id="rId594" Type="http://schemas.openxmlformats.org/officeDocument/2006/relationships/hyperlink" Target="https://drive.google.com/file/d/0ByLIAFlgldSoamJUeDV1Ykh4b1k/view?usp=sharing" TargetMode="External"/><Relationship Id="rId247" Type="http://schemas.openxmlformats.org/officeDocument/2006/relationships/hyperlink" Target="http://bzip.org/" TargetMode="External"/><Relationship Id="rId899" Type="http://schemas.openxmlformats.org/officeDocument/2006/relationships/hyperlink" Target="http://encode.ru/attachment.php?attachmentid=2361&amp;d=1371506860" TargetMode="External"/><Relationship Id="rId1084" Type="http://schemas.openxmlformats.org/officeDocument/2006/relationships/hyperlink" Target="http://heartofcomp.altervista.org/zcm093.zip" TargetMode="External"/><Relationship Id="rId107" Type="http://schemas.openxmlformats.org/officeDocument/2006/relationships/hyperlink" Target="ftp://ftp.personalcopy.net/pub/SFPack.zip" TargetMode="External"/><Relationship Id="rId454" Type="http://schemas.openxmlformats.org/officeDocument/2006/relationships/hyperlink" Target="http://bzip.org/" TargetMode="External"/><Relationship Id="rId661" Type="http://schemas.openxmlformats.org/officeDocument/2006/relationships/hyperlink" Target="https://github.com/hxim/paq8px" TargetMode="External"/><Relationship Id="rId759" Type="http://schemas.openxmlformats.org/officeDocument/2006/relationships/hyperlink" Target="https://github.com/google/brotli" TargetMode="External"/><Relationship Id="rId966" Type="http://schemas.openxmlformats.org/officeDocument/2006/relationships/hyperlink" Target="https://github.com/Cyan4973/zstd" TargetMode="External"/><Relationship Id="rId1291" Type="http://schemas.openxmlformats.org/officeDocument/2006/relationships/hyperlink" Target="http://freearc.org/" TargetMode="External"/><Relationship Id="rId1389" Type="http://schemas.openxmlformats.org/officeDocument/2006/relationships/hyperlink" Target="https://github.com/hxim/paq8px" TargetMode="External"/><Relationship Id="rId1596" Type="http://schemas.openxmlformats.org/officeDocument/2006/relationships/hyperlink" Target="https://encode.ru/attachment.php?attachmentid=5102&amp;d=1502725544" TargetMode="External"/><Relationship Id="rId314" Type="http://schemas.openxmlformats.org/officeDocument/2006/relationships/hyperlink" Target="http://freearc.org/" TargetMode="External"/><Relationship Id="rId521" Type="http://schemas.openxmlformats.org/officeDocument/2006/relationships/hyperlink" Target="ftp://ftp.sac.sk/pub/sac/pack/uharc06b.zip" TargetMode="External"/><Relationship Id="rId619" Type="http://schemas.openxmlformats.org/officeDocument/2006/relationships/hyperlink" Target="https://drive.google.com/file/d/0ByLIAFlgldSoSDA1Z05ueEZ5VG8/view?usp=sharing" TargetMode="External"/><Relationship Id="rId1151" Type="http://schemas.openxmlformats.org/officeDocument/2006/relationships/hyperlink" Target="http://encode.ru/attachment.php?attachmentid=4154&amp;d=1457802709" TargetMode="External"/><Relationship Id="rId1249" Type="http://schemas.openxmlformats.org/officeDocument/2006/relationships/hyperlink" Target="https://drive.google.com/file/d/0ByLIAFlgldSoV3ZvWHhCcGtVVEE/view?usp=sharing" TargetMode="External"/><Relationship Id="rId95" Type="http://schemas.openxmlformats.org/officeDocument/2006/relationships/hyperlink" Target="http://bzip.org/" TargetMode="External"/><Relationship Id="rId826" Type="http://schemas.openxmlformats.org/officeDocument/2006/relationships/hyperlink" Target="http://freearc.org/" TargetMode="External"/><Relationship Id="rId1011" Type="http://schemas.openxmlformats.org/officeDocument/2006/relationships/hyperlink" Target="http://encode.ru/attachment.php?attachmentid=2361&amp;d=1371506860" TargetMode="External"/><Relationship Id="rId1109" Type="http://schemas.openxmlformats.org/officeDocument/2006/relationships/hyperlink" Target="http://ftp.sac.sk/sac/pack/wrar420.exe" TargetMode="External"/><Relationship Id="rId1456" Type="http://schemas.openxmlformats.org/officeDocument/2006/relationships/hyperlink" Target="http://nishi.dreamhosters.com/u/rawfilt_v1g.rar" TargetMode="External"/><Relationship Id="rId1663" Type="http://schemas.openxmlformats.org/officeDocument/2006/relationships/hyperlink" Target="https://drive.google.com/open?id=0B_X1BeQ2TuWickxKMGVnQzFzTUE" TargetMode="External"/><Relationship Id="rId1870" Type="http://schemas.openxmlformats.org/officeDocument/2006/relationships/hyperlink" Target="https://encode.ru/attachment.php?attachmentid=5435&amp;d=1508621284" TargetMode="External"/><Relationship Id="rId1316" Type="http://schemas.openxmlformats.org/officeDocument/2006/relationships/hyperlink" Target="http://code.google.com/p/lzham/" TargetMode="External"/><Relationship Id="rId1523" Type="http://schemas.openxmlformats.org/officeDocument/2006/relationships/hyperlink" Target="https://github.com/Cyan4973/zstd" TargetMode="External"/><Relationship Id="rId1730" Type="http://schemas.openxmlformats.org/officeDocument/2006/relationships/hyperlink" Target="https://encode.ru/attachment.php?attachmentid=5122&amp;d=1503087121" TargetMode="External"/><Relationship Id="rId22" Type="http://schemas.openxmlformats.org/officeDocument/2006/relationships/hyperlink" Target="http://encode.ru/attachment.php?attachmentid=3211&amp;d=1414109843" TargetMode="External"/><Relationship Id="rId1828" Type="http://schemas.openxmlformats.org/officeDocument/2006/relationships/hyperlink" Target="https://encode.ru/attachment.php?attachmentid=5284&amp;d=1504849543" TargetMode="External"/><Relationship Id="rId171" Type="http://schemas.openxmlformats.org/officeDocument/2006/relationships/hyperlink" Target="http://libbsc.com/" TargetMode="External"/><Relationship Id="rId269" Type="http://schemas.openxmlformats.org/officeDocument/2006/relationships/hyperlink" Target="http://www.nanozip.net/" TargetMode="External"/><Relationship Id="rId476" Type="http://schemas.openxmlformats.org/officeDocument/2006/relationships/hyperlink" Target="http://www.compression.ru/ds/" TargetMode="External"/><Relationship Id="rId683" Type="http://schemas.openxmlformats.org/officeDocument/2006/relationships/hyperlink" Target="http://www.nanozip.net/" TargetMode="External"/><Relationship Id="rId890" Type="http://schemas.openxmlformats.org/officeDocument/2006/relationships/hyperlink" Target="http://encode.ru/attachment.php?attachmentid=4536&amp;d=1468876571" TargetMode="External"/><Relationship Id="rId129" Type="http://schemas.openxmlformats.org/officeDocument/2006/relationships/hyperlink" Target="http://encode.ru/attachment.php?attachmentid=3211&amp;d=1414109843" TargetMode="External"/><Relationship Id="rId336" Type="http://schemas.openxmlformats.org/officeDocument/2006/relationships/hyperlink" Target="http://www.7-zip.org/" TargetMode="External"/><Relationship Id="rId543" Type="http://schemas.openxmlformats.org/officeDocument/2006/relationships/hyperlink" Target="http://libbsc.com/" TargetMode="External"/><Relationship Id="rId988" Type="http://schemas.openxmlformats.org/officeDocument/2006/relationships/hyperlink" Target="https://github.com/google/brotli" TargetMode="External"/><Relationship Id="rId1173" Type="http://schemas.openxmlformats.org/officeDocument/2006/relationships/hyperlink" Target="https://github.com/schnaader/precomp-cpp/releases/download/v0.4.5/precomp.zip" TargetMode="External"/><Relationship Id="rId1380" Type="http://schemas.openxmlformats.org/officeDocument/2006/relationships/hyperlink" Target="http://www.winzip.com/" TargetMode="External"/><Relationship Id="rId403" Type="http://schemas.openxmlformats.org/officeDocument/2006/relationships/hyperlink" Target="http://libbsc.com/" TargetMode="External"/><Relationship Id="rId750" Type="http://schemas.openxmlformats.org/officeDocument/2006/relationships/hyperlink" Target="http://heartofcomp.altervista.org/packet1.9.zip" TargetMode="External"/><Relationship Id="rId848" Type="http://schemas.openxmlformats.org/officeDocument/2006/relationships/hyperlink" Target="http://code.google.com/p/lzham/" TargetMode="External"/><Relationship Id="rId1033" Type="http://schemas.openxmlformats.org/officeDocument/2006/relationships/hyperlink" Target="http://nishi.dreamhosters.com/u/7z-arw_v0.7z" TargetMode="External"/><Relationship Id="rId1478" Type="http://schemas.openxmlformats.org/officeDocument/2006/relationships/hyperlink" Target="http://encode.ru/attachment.php?attachmentid=3211&amp;d=1414109843" TargetMode="External"/><Relationship Id="rId1685" Type="http://schemas.openxmlformats.org/officeDocument/2006/relationships/hyperlink" Target="https://encode.ru/attachment.php?attachmentid=5122&amp;d=1503087121" TargetMode="External"/><Relationship Id="rId1892" Type="http://schemas.openxmlformats.org/officeDocument/2006/relationships/hyperlink" Target="https://encode.ru/attachment.php?attachmentid=5435&amp;d=1508621284" TargetMode="External"/><Relationship Id="rId610" Type="http://schemas.openxmlformats.org/officeDocument/2006/relationships/hyperlink" Target="https://drive.google.com/file/d/0ByLIAFlgldSoYlpJVEx1T3JaeUU/view?usp=sharing" TargetMode="External"/><Relationship Id="rId708" Type="http://schemas.openxmlformats.org/officeDocument/2006/relationships/hyperlink" Target="http://encode.ru/attachment.php?attachmentid=4536&amp;d=1468876571" TargetMode="External"/><Relationship Id="rId915" Type="http://schemas.openxmlformats.org/officeDocument/2006/relationships/hyperlink" Target="https://github.com/hxim/paq8px" TargetMode="External"/><Relationship Id="rId1240" Type="http://schemas.openxmlformats.org/officeDocument/2006/relationships/hyperlink" Target="https://drive.google.com/open?id=0B_X1BeQ2TuWiWVFVTnhMSFhiZHM" TargetMode="External"/><Relationship Id="rId1338" Type="http://schemas.openxmlformats.org/officeDocument/2006/relationships/hyperlink" Target="http://nishi.dreamhosters.com/u/rawfilt_v1g.rar" TargetMode="External"/><Relationship Id="rId1545" Type="http://schemas.openxmlformats.org/officeDocument/2006/relationships/hyperlink" Target="http://encode.ru/attachment.php?attachmentid=4661&amp;d=1474958346" TargetMode="External"/><Relationship Id="rId1100" Type="http://schemas.openxmlformats.org/officeDocument/2006/relationships/hyperlink" Target="http://ftp.sac.sk/sac/pack/wrar420.exe" TargetMode="External"/><Relationship Id="rId1405" Type="http://schemas.openxmlformats.org/officeDocument/2006/relationships/hyperlink" Target="http://freearc.org/" TargetMode="External"/><Relationship Id="rId1752" Type="http://schemas.openxmlformats.org/officeDocument/2006/relationships/hyperlink" Target="https://drive.google.com/drive/folders/0B_X1BeQ2TuWibTBmVG90S0k1bVE" TargetMode="External"/><Relationship Id="rId44" Type="http://schemas.openxmlformats.org/officeDocument/2006/relationships/hyperlink" Target="http://nishi.dreamhosters.com/u/reflate_v0c1.rar" TargetMode="External"/><Relationship Id="rId1612" Type="http://schemas.openxmlformats.org/officeDocument/2006/relationships/hyperlink" Target="https://encode.ru/attachment.php?attachmentid=5131&amp;d=1503168357" TargetMode="External"/><Relationship Id="rId193" Type="http://schemas.openxmlformats.org/officeDocument/2006/relationships/hyperlink" Target="http://encode.ru/attachment.php?attachmentid=1946&amp;d=1336895016" TargetMode="External"/><Relationship Id="rId498" Type="http://schemas.openxmlformats.org/officeDocument/2006/relationships/hyperlink" Target="http://bzip.org/" TargetMode="External"/><Relationship Id="rId260" Type="http://schemas.openxmlformats.org/officeDocument/2006/relationships/hyperlink" Target="ftp://ftp.sac.sk/pub/sac/pack/uharc06b.zip" TargetMode="External"/><Relationship Id="rId120" Type="http://schemas.openxmlformats.org/officeDocument/2006/relationships/hyperlink" Target="http://www.7-zip.org/" TargetMode="External"/><Relationship Id="rId358" Type="http://schemas.openxmlformats.org/officeDocument/2006/relationships/hyperlink" Target="http://www.winzip.com/" TargetMode="External"/><Relationship Id="rId565" Type="http://schemas.openxmlformats.org/officeDocument/2006/relationships/hyperlink" Target="http://encode.ru/attachment.php?attachmentid=2361&amp;d=1371506860" TargetMode="External"/><Relationship Id="rId772" Type="http://schemas.openxmlformats.org/officeDocument/2006/relationships/hyperlink" Target="http://heartofcomp.altervista.org/packet1.9.zip" TargetMode="External"/><Relationship Id="rId1195" Type="http://schemas.openxmlformats.org/officeDocument/2006/relationships/hyperlink" Target="http://nishi.dreamhosters.com/u/rawfilt_v1g.rar" TargetMode="External"/><Relationship Id="rId218" Type="http://schemas.openxmlformats.org/officeDocument/2006/relationships/hyperlink" Target="http://www.rarlabs.com/" TargetMode="External"/><Relationship Id="rId425" Type="http://schemas.openxmlformats.org/officeDocument/2006/relationships/hyperlink" Target="http://encode.ru/attachment.php?attachmentid=3211&amp;d=1414109843" TargetMode="External"/><Relationship Id="rId632" Type="http://schemas.openxmlformats.org/officeDocument/2006/relationships/hyperlink" Target="https://github.com/Cyan4973/zstd" TargetMode="External"/><Relationship Id="rId1055" Type="http://schemas.openxmlformats.org/officeDocument/2006/relationships/hyperlink" Target="http://heartofcomp.altervista.org/zcm093.zip" TargetMode="External"/><Relationship Id="rId1262" Type="http://schemas.openxmlformats.org/officeDocument/2006/relationships/hyperlink" Target="http://freearc.org/" TargetMode="External"/><Relationship Id="rId937" Type="http://schemas.openxmlformats.org/officeDocument/2006/relationships/hyperlink" Target="https://github.com/Cyan4973/zstd" TargetMode="External"/><Relationship Id="rId1122" Type="http://schemas.openxmlformats.org/officeDocument/2006/relationships/hyperlink" Target="http://ftp.sac.sk/sac/pack/wrar420.exe" TargetMode="External"/><Relationship Id="rId1567" Type="http://schemas.openxmlformats.org/officeDocument/2006/relationships/hyperlink" Target="https://encode.ru/attachment.php?attachmentid=5102&amp;d=1502725544" TargetMode="External"/><Relationship Id="rId1774" Type="http://schemas.openxmlformats.org/officeDocument/2006/relationships/hyperlink" Target="http://www.powerarchiver.com/" TargetMode="External"/><Relationship Id="rId66" Type="http://schemas.openxmlformats.org/officeDocument/2006/relationships/hyperlink" Target="http://www.7-zip.org/" TargetMode="External"/><Relationship Id="rId1427" Type="http://schemas.openxmlformats.org/officeDocument/2006/relationships/hyperlink" Target="ftp://ftp.sac.sk/pub/sac/pack/uharc06b.zip" TargetMode="External"/><Relationship Id="rId1634" Type="http://schemas.openxmlformats.org/officeDocument/2006/relationships/hyperlink" Target="https://encode.ru/attachment.php?attachmentid=5131&amp;d=1503168357" TargetMode="External"/><Relationship Id="rId1841" Type="http://schemas.openxmlformats.org/officeDocument/2006/relationships/hyperlink" Target="https://encode.ru/attachment.php?attachmentid=5284&amp;d=1504849543" TargetMode="External"/><Relationship Id="rId1701" Type="http://schemas.openxmlformats.org/officeDocument/2006/relationships/hyperlink" Target="https://drive.google.com/drive/folders/0B_X1BeQ2TuWibTBmVG90S0k1bVE" TargetMode="External"/><Relationship Id="rId282" Type="http://schemas.openxmlformats.org/officeDocument/2006/relationships/hyperlink" Target="http://libbsc.com/" TargetMode="External"/><Relationship Id="rId587" Type="http://schemas.openxmlformats.org/officeDocument/2006/relationships/hyperlink" Target="http://encode.ru/attachment.php?attachmentid=2361&amp;d=1371506860" TargetMode="External"/><Relationship Id="rId8" Type="http://schemas.openxmlformats.org/officeDocument/2006/relationships/hyperlink" Target="http://www.madtracker.org/" TargetMode="External"/><Relationship Id="rId142" Type="http://schemas.openxmlformats.org/officeDocument/2006/relationships/hyperlink" Target="http://www.compression.ru/ds/" TargetMode="External"/><Relationship Id="rId447" Type="http://schemas.openxmlformats.org/officeDocument/2006/relationships/hyperlink" Target="http://www.winzip.com/" TargetMode="External"/><Relationship Id="rId794" Type="http://schemas.openxmlformats.org/officeDocument/2006/relationships/hyperlink" Target="http://www.emit.jp/dgca/dgca_e.html" TargetMode="External"/><Relationship Id="rId1077" Type="http://schemas.openxmlformats.org/officeDocument/2006/relationships/hyperlink" Target="http://heartofcomp.altervista.org/zcm093.zip" TargetMode="External"/><Relationship Id="rId654" Type="http://schemas.openxmlformats.org/officeDocument/2006/relationships/hyperlink" Target="https://github.com/hxim/paq8px" TargetMode="External"/><Relationship Id="rId861" Type="http://schemas.openxmlformats.org/officeDocument/2006/relationships/hyperlink" Target="https://github.com/hxim/paq8px" TargetMode="External"/><Relationship Id="rId959" Type="http://schemas.openxmlformats.org/officeDocument/2006/relationships/hyperlink" Target="https://github.com/Cyan4973/zstd" TargetMode="External"/><Relationship Id="rId1284" Type="http://schemas.openxmlformats.org/officeDocument/2006/relationships/hyperlink" Target="http://code.google.com/p/lzham/" TargetMode="External"/><Relationship Id="rId1491" Type="http://schemas.openxmlformats.org/officeDocument/2006/relationships/hyperlink" Target="http://libbsc.com/" TargetMode="External"/><Relationship Id="rId1589" Type="http://schemas.openxmlformats.org/officeDocument/2006/relationships/hyperlink" Target="https://encode.ru/attachment.php?attachmentid=5102&amp;d=1502725544" TargetMode="External"/><Relationship Id="rId307" Type="http://schemas.openxmlformats.org/officeDocument/2006/relationships/hyperlink" Target="http://www.rarlabs.com/" TargetMode="External"/><Relationship Id="rId514" Type="http://schemas.openxmlformats.org/officeDocument/2006/relationships/hyperlink" Target="http://libbsc.com/" TargetMode="External"/><Relationship Id="rId721" Type="http://schemas.openxmlformats.org/officeDocument/2006/relationships/hyperlink" Target="http://encode.ru/attachment.php?attachmentid=4536&amp;d=1468876571" TargetMode="External"/><Relationship Id="rId1144" Type="http://schemas.openxmlformats.org/officeDocument/2006/relationships/hyperlink" Target="http://encode.ru/attachment.php?attachmentid=4154&amp;d=1457802709" TargetMode="External"/><Relationship Id="rId1351" Type="http://schemas.openxmlformats.org/officeDocument/2006/relationships/hyperlink" Target="http://www.winzip.com/" TargetMode="External"/><Relationship Id="rId1449" Type="http://schemas.openxmlformats.org/officeDocument/2006/relationships/hyperlink" Target="http://encode.ru/attachment.php?attachmentid=3211&amp;d=1414109843" TargetMode="External"/><Relationship Id="rId1796" Type="http://schemas.openxmlformats.org/officeDocument/2006/relationships/hyperlink" Target="https://encode.ru/attachment.php?attachmentid=5122&amp;d=1503087121" TargetMode="External"/><Relationship Id="rId88" Type="http://schemas.openxmlformats.org/officeDocument/2006/relationships/hyperlink" Target="http://libbsc.com/" TargetMode="External"/><Relationship Id="rId819" Type="http://schemas.openxmlformats.org/officeDocument/2006/relationships/hyperlink" Target="http://encode.ru/attachment.php?attachmentid=2361&amp;d=1371506860" TargetMode="External"/><Relationship Id="rId1004" Type="http://schemas.openxmlformats.org/officeDocument/2006/relationships/hyperlink" Target="http://freearc.org/" TargetMode="External"/><Relationship Id="rId1211" Type="http://schemas.openxmlformats.org/officeDocument/2006/relationships/hyperlink" Target="http://nishi.dreamhosters.com/u/rawfilt_v1g.rar" TargetMode="External"/><Relationship Id="rId1656" Type="http://schemas.openxmlformats.org/officeDocument/2006/relationships/hyperlink" Target="https://drive.google.com/open?id=0B_X1BeQ2TuWickxKMGVnQzFzTUE" TargetMode="External"/><Relationship Id="rId1863" Type="http://schemas.openxmlformats.org/officeDocument/2006/relationships/hyperlink" Target="https://encode.ru/attachment.php?attachmentid=5284&amp;d=1504849543" TargetMode="External"/><Relationship Id="rId1309" Type="http://schemas.openxmlformats.org/officeDocument/2006/relationships/hyperlink" Target="http://encode.ru/attachment.php?attachmentid=1946&amp;d=1336895016" TargetMode="External"/><Relationship Id="rId1516" Type="http://schemas.openxmlformats.org/officeDocument/2006/relationships/hyperlink" Target="http://www.rarlabs.com/" TargetMode="External"/><Relationship Id="rId1723" Type="http://schemas.openxmlformats.org/officeDocument/2006/relationships/hyperlink" Target="http://www.powerarchiver.com/" TargetMode="External"/><Relationship Id="rId15" Type="http://schemas.openxmlformats.org/officeDocument/2006/relationships/hyperlink" Target="http://www.rarlabs.com/" TargetMode="External"/><Relationship Id="rId164" Type="http://schemas.openxmlformats.org/officeDocument/2006/relationships/hyperlink" Target="http://mattmahoney.net/dc/zpaq.html" TargetMode="External"/><Relationship Id="rId371" Type="http://schemas.openxmlformats.org/officeDocument/2006/relationships/hyperlink" Target="http://encode.ru/attachment.php?attachmentid=3211&amp;d=1414109843" TargetMode="External"/></Relationships>
</file>

<file path=xl/worksheets/_rels/sheet12.xml.rels><?xml version="1.0" encoding="UTF-8" standalone="yes"?>
<Relationships xmlns="http://schemas.openxmlformats.org/package/2006/relationships"><Relationship Id="rId26" Type="http://schemas.openxmlformats.org/officeDocument/2006/relationships/hyperlink" Target="http://www.nanozip.net/" TargetMode="External"/><Relationship Id="rId21" Type="http://schemas.openxmlformats.org/officeDocument/2006/relationships/hyperlink" Target="http://mattmahoney.net/dc/paq7.exe" TargetMode="External"/><Relationship Id="rId42" Type="http://schemas.openxmlformats.org/officeDocument/2006/relationships/hyperlink" Target="ftp://ftp.sac.sk/pub/sac/pack/ctxf075p.zip" TargetMode="External"/><Relationship Id="rId47" Type="http://schemas.openxmlformats.org/officeDocument/2006/relationships/hyperlink" Target="http://archive.org/download/tucows_364302_Jabosoft_Archiver/Archiver_1_0.exe" TargetMode="External"/><Relationship Id="rId63" Type="http://schemas.openxmlformats.org/officeDocument/2006/relationships/hyperlink" Target="http://nauful.com/pages/cm4.php" TargetMode="External"/><Relationship Id="rId68" Type="http://schemas.openxmlformats.org/officeDocument/2006/relationships/hyperlink" Target="ftp://ftp.sac.sk/pub/sac/pack/dc124.zip" TargetMode="External"/><Relationship Id="rId84" Type="http://schemas.openxmlformats.org/officeDocument/2006/relationships/image" Target="../media/image2.png"/><Relationship Id="rId16" Type="http://schemas.openxmlformats.org/officeDocument/2006/relationships/hyperlink" Target="https://encode.ru/attachment.php?attachmentid=5145&amp;d=1503469585" TargetMode="External"/><Relationship Id="rId11" Type="http://schemas.openxmlformats.org/officeDocument/2006/relationships/hyperlink" Target="http://www.7-zip.org/" TargetMode="External"/><Relationship Id="rId32" Type="http://schemas.openxmlformats.org/officeDocument/2006/relationships/hyperlink" Target="http://www.compression.ru/ds/" TargetMode="External"/><Relationship Id="rId37" Type="http://schemas.openxmlformats.org/officeDocument/2006/relationships/hyperlink" Target="ftp://ftp.sac.sk/pub/sac/pack/uharc06b.zip" TargetMode="External"/><Relationship Id="rId53" Type="http://schemas.openxmlformats.org/officeDocument/2006/relationships/hyperlink" Target="http://sourceforge.net/projects/balz/" TargetMode="External"/><Relationship Id="rId58" Type="http://schemas.openxmlformats.org/officeDocument/2006/relationships/hyperlink" Target="http://heartofcomp.altervista.org/lza082.zip" TargetMode="External"/><Relationship Id="rId74" Type="http://schemas.openxmlformats.org/officeDocument/2006/relationships/hyperlink" Target="http://ftp.sac.sk/sac/pack/rkc102w.exe" TargetMode="External"/><Relationship Id="rId79" Type="http://schemas.openxmlformats.org/officeDocument/2006/relationships/hyperlink" Target="http://www.compression.ru/so/epm_9.zip" TargetMode="External"/><Relationship Id="rId5" Type="http://schemas.openxmlformats.org/officeDocument/2006/relationships/hyperlink" Target="http://encode.ru/attachment.php?attachmentid=4661&amp;d=1474958346" TargetMode="External"/><Relationship Id="rId19" Type="http://schemas.openxmlformats.org/officeDocument/2006/relationships/hyperlink" Target="http://www.emit.jp/dgca/dgca_v110e.exe" TargetMode="External"/><Relationship Id="rId14" Type="http://schemas.openxmlformats.org/officeDocument/2006/relationships/hyperlink" Target="https://encode.ru/attachment.php?attachmentid=5094&amp;d=1502530939" TargetMode="External"/><Relationship Id="rId22" Type="http://schemas.openxmlformats.org/officeDocument/2006/relationships/hyperlink" Target="http://www.compression.ru/ds/" TargetMode="External"/><Relationship Id="rId27" Type="http://schemas.openxmlformats.org/officeDocument/2006/relationships/hyperlink" Target="http://www.ctxmodel.net/files/ASH/ash07.rar" TargetMode="External"/><Relationship Id="rId30" Type="http://schemas.openxmlformats.org/officeDocument/2006/relationships/hyperlink" Target="ftp://ftp.sac.sk/pub/sac/pack/slim023d.zip" TargetMode="External"/><Relationship Id="rId35" Type="http://schemas.openxmlformats.org/officeDocument/2006/relationships/hyperlink" Target="ftp://ftp.sac.sk/pub/sac/pack/abc_24.zip" TargetMode="External"/><Relationship Id="rId43" Type="http://schemas.openxmlformats.org/officeDocument/2006/relationships/hyperlink" Target="ftp://ftp.sac.sk/pub/sac/pack/zzip036c.zip" TargetMode="External"/><Relationship Id="rId48" Type="http://schemas.openxmlformats.org/officeDocument/2006/relationships/hyperlink" Target="ftp://ftp.sac.sk/pub/sac/pack/cpshrink.zip" TargetMode="External"/><Relationship Id="rId56" Type="http://schemas.openxmlformats.org/officeDocument/2006/relationships/hyperlink" Target="http://www.hyec.org/~da0ka/c/compress/bmgvc/bmgvc.7z" TargetMode="External"/><Relationship Id="rId64" Type="http://schemas.openxmlformats.org/officeDocument/2006/relationships/hyperlink" Target="http://www.cbloom.com/src/lzcb43.zip" TargetMode="External"/><Relationship Id="rId69" Type="http://schemas.openxmlformats.org/officeDocument/2006/relationships/hyperlink" Target="http://encode.ru/attachment.php?attachmentid=2570&amp;d=1386072524" TargetMode="External"/><Relationship Id="rId77" Type="http://schemas.openxmlformats.org/officeDocument/2006/relationships/hyperlink" Target="http://encode.narod.ru/ppmx008.zip" TargetMode="External"/><Relationship Id="rId8" Type="http://schemas.openxmlformats.org/officeDocument/2006/relationships/hyperlink" Target="https://github.com/hxim/paq8px" TargetMode="External"/><Relationship Id="rId51" Type="http://schemas.openxmlformats.org/officeDocument/2006/relationships/hyperlink" Target="http://ssergeo.narod.ru/bin/bssc.exe" TargetMode="External"/><Relationship Id="rId72" Type="http://schemas.openxmlformats.org/officeDocument/2006/relationships/hyperlink" Target="http://www.nanozip.net/" TargetMode="External"/><Relationship Id="rId80" Type="http://schemas.openxmlformats.org/officeDocument/2006/relationships/hyperlink" Target="http://www.compression.ru/so/epm_9.zip" TargetMode="External"/><Relationship Id="rId85" Type="http://schemas.openxmlformats.org/officeDocument/2006/relationships/comments" Target="../comments7.xml"/><Relationship Id="rId3" Type="http://schemas.openxmlformats.org/officeDocument/2006/relationships/hyperlink" Target="https://drive.google.com/file/d/0ByLIAFlgldSocVZkd1NaRzE3M3M/view?usp=sharing" TargetMode="External"/><Relationship Id="rId12" Type="http://schemas.openxmlformats.org/officeDocument/2006/relationships/hyperlink" Target="http://www.winace.com/" TargetMode="External"/><Relationship Id="rId17" Type="http://schemas.openxmlformats.org/officeDocument/2006/relationships/hyperlink" Target="https://encode.ru/attachment.php?attachmentid=5144&amp;d=1503434126" TargetMode="External"/><Relationship Id="rId25" Type="http://schemas.openxmlformats.org/officeDocument/2006/relationships/hyperlink" Target="http://mattmahoney.net/dc/paq8i.zip" TargetMode="External"/><Relationship Id="rId33" Type="http://schemas.openxmlformats.org/officeDocument/2006/relationships/hyperlink" Target="ftp://ftp.sac.sk/pub/sac/pack/uhbc10.zip" TargetMode="External"/><Relationship Id="rId38" Type="http://schemas.openxmlformats.org/officeDocument/2006/relationships/hyperlink" Target="https://sites.google.com/site/sbcarchiver" TargetMode="External"/><Relationship Id="rId46" Type="http://schemas.openxmlformats.org/officeDocument/2006/relationships/hyperlink" Target="ftp://ftp.sac.sk/pub/sac/pack/lha267e.exe" TargetMode="External"/><Relationship Id="rId59" Type="http://schemas.openxmlformats.org/officeDocument/2006/relationships/hyperlink" Target="http://heartofcomp.altervista.org/packet1.9.zip" TargetMode="External"/><Relationship Id="rId67" Type="http://schemas.openxmlformats.org/officeDocument/2006/relationships/hyperlink" Target="http://ftk.ys168.com/note/fd.htm?http://ys-F.ys168.com/1.0/272044716/o535K477I5I2PfRiRJUHws/CSC32.exe" TargetMode="External"/><Relationship Id="rId20" Type="http://schemas.openxmlformats.org/officeDocument/2006/relationships/hyperlink" Target="http://encode.ru/attachment.php?attachmentid=1946&amp;d=1336895016" TargetMode="External"/><Relationship Id="rId41" Type="http://schemas.openxmlformats.org/officeDocument/2006/relationships/hyperlink" Target="ftp://ftp.sac.sk/pub/sac/pack/bioarc19.zip" TargetMode="External"/><Relationship Id="rId54" Type="http://schemas.openxmlformats.org/officeDocument/2006/relationships/hyperlink" Target="http://encode.ru/attachment.php?attachmentid=1400&amp;d=1288545534" TargetMode="External"/><Relationship Id="rId62" Type="http://schemas.openxmlformats.org/officeDocument/2006/relationships/hyperlink" Target="http://heartofcomp.altervista.org/index.htm" TargetMode="External"/><Relationship Id="rId70" Type="http://schemas.openxmlformats.org/officeDocument/2006/relationships/hyperlink" Target="ftp://ftp.sac.sk/pub/sac/pack/ocamyd.zip" TargetMode="External"/><Relationship Id="rId75" Type="http://schemas.openxmlformats.org/officeDocument/2006/relationships/hyperlink" Target="http://ftp.sac.sk/sac/pack/rkc102w.exe" TargetMode="External"/><Relationship Id="rId83" Type="http://schemas.openxmlformats.org/officeDocument/2006/relationships/vmlDrawing" Target="../drawings/vmlDrawing7.vml"/><Relationship Id="rId1" Type="http://schemas.openxmlformats.org/officeDocument/2006/relationships/hyperlink" Target="http://www.unboundbible.org/" TargetMode="External"/><Relationship Id="rId6" Type="http://schemas.openxmlformats.org/officeDocument/2006/relationships/hyperlink" Target="https://github.com/byronknoll/LSTM-compress" TargetMode="External"/><Relationship Id="rId15" Type="http://schemas.openxmlformats.org/officeDocument/2006/relationships/hyperlink" Target="https://encode.ru/attachment.php?attachmentid=5077&amp;d=1502016020" TargetMode="External"/><Relationship Id="rId23" Type="http://schemas.openxmlformats.org/officeDocument/2006/relationships/hyperlink" Target="http://mattmahoney.net/dc/paqar4.rar" TargetMode="External"/><Relationship Id="rId28" Type="http://schemas.openxmlformats.org/officeDocument/2006/relationships/hyperlink" Target="http://mattmahoney.net/dc/paq4-emilcont-duritium.exe" TargetMode="External"/><Relationship Id="rId36" Type="http://schemas.openxmlformats.org/officeDocument/2006/relationships/hyperlink" Target="ftp://ftp.sac.sk/pub/sac/pack/ctw01w32.zip" TargetMode="External"/><Relationship Id="rId49" Type="http://schemas.openxmlformats.org/officeDocument/2006/relationships/hyperlink" Target="ftp://ftp.sac.sk/pub/sac/pack/nsk50.zip" TargetMode="External"/><Relationship Id="rId57" Type="http://schemas.openxmlformats.org/officeDocument/2006/relationships/hyperlink" Target="http://code.google.com/p/comprox/" TargetMode="External"/><Relationship Id="rId10" Type="http://schemas.openxmlformats.org/officeDocument/2006/relationships/hyperlink" Target="http://www.7-zip.org/" TargetMode="External"/><Relationship Id="rId31" Type="http://schemas.openxmlformats.org/officeDocument/2006/relationships/hyperlink" Target="ftp://ftp.sac.sk/pub/sac/pack/enc015.zip" TargetMode="External"/><Relationship Id="rId44" Type="http://schemas.openxmlformats.org/officeDocument/2006/relationships/hyperlink" Target="ftp://ftp.sac.sk/pub/sac/pack/ha_nt.zip" TargetMode="External"/><Relationship Id="rId52" Type="http://schemas.openxmlformats.org/officeDocument/2006/relationships/hyperlink" Target="http://www.geocities.ws/ocamyd/" TargetMode="External"/><Relationship Id="rId60" Type="http://schemas.openxmlformats.org/officeDocument/2006/relationships/hyperlink" Target="http://www.hyec.org/~da0ka/c/compress/bmzfp/bmzfp-v1.1.7z" TargetMode="External"/><Relationship Id="rId65" Type="http://schemas.openxmlformats.org/officeDocument/2006/relationships/hyperlink" Target="https://github.com/akamiru/bce" TargetMode="External"/><Relationship Id="rId73" Type="http://schemas.openxmlformats.org/officeDocument/2006/relationships/hyperlink" Target="http://www.compression.ru/so/epm_9.zip" TargetMode="External"/><Relationship Id="rId78" Type="http://schemas.openxmlformats.org/officeDocument/2006/relationships/hyperlink" Target="http://cbloom.com/" TargetMode="External"/><Relationship Id="rId81" Type="http://schemas.openxmlformats.org/officeDocument/2006/relationships/hyperlink" Target="https://encode.ru/attachment.php?attachmentid=5284&amp;d=1504849543" TargetMode="External"/><Relationship Id="rId4" Type="http://schemas.openxmlformats.org/officeDocument/2006/relationships/hyperlink" Target="http://encode.ru/attachment.php?attachmentid=4583&amp;d=1471200171" TargetMode="External"/><Relationship Id="rId9" Type="http://schemas.openxmlformats.org/officeDocument/2006/relationships/hyperlink" Target="https://drive.google.com/open?id=0B_X1BeQ2TuWiWVFVTnhMSFhiZHM" TargetMode="External"/><Relationship Id="rId13" Type="http://schemas.openxmlformats.org/officeDocument/2006/relationships/hyperlink" Target="https://encode.ru/attachment.php?attachmentid=4536&amp;d=1468876571" TargetMode="External"/><Relationship Id="rId18" Type="http://schemas.openxmlformats.org/officeDocument/2006/relationships/hyperlink" Target="https://encode.ru/attachment.php?attachmentid=5284&amp;d=1504849543" TargetMode="External"/><Relationship Id="rId39" Type="http://schemas.openxmlformats.org/officeDocument/2006/relationships/hyperlink" Target="http://www.iceows.com/Download/Ice420U.exe" TargetMode="External"/><Relationship Id="rId34" Type="http://schemas.openxmlformats.org/officeDocument/2006/relationships/hyperlink" Target="ftp://ftp.sac.sk/pub/sac/pack/ybs003fw.zip" TargetMode="External"/><Relationship Id="rId50" Type="http://schemas.openxmlformats.org/officeDocument/2006/relationships/hyperlink" Target="ftp://ftp.sac.sk/pub/sac/pack/mscomp20.zip" TargetMode="External"/><Relationship Id="rId55" Type="http://schemas.openxmlformats.org/officeDocument/2006/relationships/hyperlink" Target="http://compressionratings.com/files/bred3.zip" TargetMode="External"/><Relationship Id="rId76" Type="http://schemas.openxmlformats.org/officeDocument/2006/relationships/hyperlink" Target="ftp://ftp.sac.sk/pub/sac/pack/ppmn_km.rar" TargetMode="External"/><Relationship Id="rId7" Type="http://schemas.openxmlformats.org/officeDocument/2006/relationships/hyperlink" Target="https://github.com/mathieuchartier/mcm" TargetMode="External"/><Relationship Id="rId71" Type="http://schemas.openxmlformats.org/officeDocument/2006/relationships/hyperlink" Target="https://github.com/conor42/Radyx/releases" TargetMode="External"/><Relationship Id="rId2" Type="http://schemas.openxmlformats.org/officeDocument/2006/relationships/hyperlink" Target="http://en.wikipedia.org/wiki/L.L._Zamenhof" TargetMode="External"/><Relationship Id="rId29" Type="http://schemas.openxmlformats.org/officeDocument/2006/relationships/hyperlink" Target="ftp://ftp.sac.sk/pub/sac/pack/comprsia.exe" TargetMode="External"/><Relationship Id="rId24" Type="http://schemas.openxmlformats.org/officeDocument/2006/relationships/hyperlink" Target="http://www.ii.uni.wroc.pl/~inikep/research/paq8d.zip" TargetMode="External"/><Relationship Id="rId40" Type="http://schemas.openxmlformats.org/officeDocument/2006/relationships/hyperlink" Target="http://www.sp-download.de/sq5/sq5u_x64.exe" TargetMode="External"/><Relationship Id="rId45" Type="http://schemas.openxmlformats.org/officeDocument/2006/relationships/hyperlink" Target="ftp://ftp.sac.sk/pub/sac/pack/xtrem106.zip" TargetMode="External"/><Relationship Id="rId66" Type="http://schemas.openxmlformats.org/officeDocument/2006/relationships/hyperlink" Target="https://github.com/richgel999/lzham_codec_devel" TargetMode="External"/><Relationship Id="rId61" Type="http://schemas.openxmlformats.org/officeDocument/2006/relationships/hyperlink" Target="https://github.com/facebook/zstd" TargetMode="External"/><Relationship Id="rId82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compressionratings.com/files/squeezechart_src.7z" TargetMode="External"/><Relationship Id="rId3" Type="http://schemas.openxmlformats.org/officeDocument/2006/relationships/hyperlink" Target="http://www.imagecompression.info/test_images/squeezechart_camera_raw.zip" TargetMode="External"/><Relationship Id="rId7" Type="http://schemas.openxmlformats.org/officeDocument/2006/relationships/hyperlink" Target="http://www.compressionratings.com/files/squeezechart_pgm.7z" TargetMode="External"/><Relationship Id="rId2" Type="http://schemas.openxmlformats.org/officeDocument/2006/relationships/hyperlink" Target="http://www.squeezechart.com/TEST_Audio.arc" TargetMode="External"/><Relationship Id="rId1" Type="http://schemas.openxmlformats.org/officeDocument/2006/relationships/hyperlink" Target="http://www.compressionratings.com/files/squeezechart_app.7z" TargetMode="External"/><Relationship Id="rId6" Type="http://schemas.openxmlformats.org/officeDocument/2006/relationships/hyperlink" Target="http://www.compressionratings.com/files/squeezechart_mobile.7z" TargetMode="External"/><Relationship Id="rId11" Type="http://schemas.openxmlformats.org/officeDocument/2006/relationships/image" Target="../media/image2.png"/><Relationship Id="rId5" Type="http://schemas.openxmlformats.org/officeDocument/2006/relationships/hyperlink" Target="http://www.compressionratings.com/files/squeezechart_installer.7z" TargetMode="External"/><Relationship Id="rId10" Type="http://schemas.openxmlformats.org/officeDocument/2006/relationships/printerSettings" Target="../printerSettings/printerSettings2.bin"/><Relationship Id="rId4" Type="http://schemas.openxmlformats.org/officeDocument/2006/relationships/hyperlink" Target="http://www.compressionratings.com/files/squeezechart_gutenberg.7z" TargetMode="External"/><Relationship Id="rId9" Type="http://schemas.openxmlformats.org/officeDocument/2006/relationships/hyperlink" Target="http://www.compressionratings.com/files/squeezechart_xml.7z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17" Type="http://schemas.openxmlformats.org/officeDocument/2006/relationships/hyperlink" Target="ftp://ftp.sac.sk/pub/sac/pack/kty_13.zip" TargetMode="External"/><Relationship Id="rId299" Type="http://schemas.openxmlformats.org/officeDocument/2006/relationships/hyperlink" Target="http://www.b1.org/" TargetMode="External"/><Relationship Id="rId21" Type="http://schemas.openxmlformats.org/officeDocument/2006/relationships/hyperlink" Target="http://www.7-zip.org/" TargetMode="External"/><Relationship Id="rId63" Type="http://schemas.openxmlformats.org/officeDocument/2006/relationships/hyperlink" Target="ftp://ftp.sac.sk/pub/sac/pack/slim110a.zip" TargetMode="External"/><Relationship Id="rId159" Type="http://schemas.openxmlformats.org/officeDocument/2006/relationships/hyperlink" Target="ftp://ftp.sac.sk/pub/sac/pack/kzip.exe" TargetMode="External"/><Relationship Id="rId324" Type="http://schemas.openxmlformats.org/officeDocument/2006/relationships/hyperlink" Target="http://www.powerarchiver.com/" TargetMode="External"/><Relationship Id="rId366" Type="http://schemas.openxmlformats.org/officeDocument/2006/relationships/hyperlink" Target="http://nishi.dreamhosters.com/u/binder.rar" TargetMode="External"/><Relationship Id="rId170" Type="http://schemas.openxmlformats.org/officeDocument/2006/relationships/hyperlink" Target="http://heartofcomp.altervista.org/" TargetMode="External"/><Relationship Id="rId226" Type="http://schemas.openxmlformats.org/officeDocument/2006/relationships/hyperlink" Target="ftp://ftp.sac.sk/pub/sac/pack/m99.zip" TargetMode="External"/><Relationship Id="rId268" Type="http://schemas.openxmlformats.org/officeDocument/2006/relationships/hyperlink" Target="http://mattmahoney.net/dc/text.html" TargetMode="External"/><Relationship Id="rId32" Type="http://schemas.openxmlformats.org/officeDocument/2006/relationships/hyperlink" Target="http://www.arjsoftware.com/" TargetMode="External"/><Relationship Id="rId74" Type="http://schemas.openxmlformats.org/officeDocument/2006/relationships/hyperlink" Target="ftp://ftp.sac.sk/pub/sac/pack/splint.zip" TargetMode="External"/><Relationship Id="rId128" Type="http://schemas.openxmlformats.org/officeDocument/2006/relationships/hyperlink" Target="ftp://ftp.sac.sk/pub/sac/pack/cpac135.zip" TargetMode="External"/><Relationship Id="rId335" Type="http://schemas.openxmlformats.org/officeDocument/2006/relationships/hyperlink" Target="http://encode.ru/attachment.php?attachmentid=3392&amp;d=1423548712" TargetMode="External"/><Relationship Id="rId377" Type="http://schemas.openxmlformats.org/officeDocument/2006/relationships/hyperlink" Target="http://encode.ru/attachment.php?attachmentid=4030&amp;d=1452576196" TargetMode="External"/><Relationship Id="rId5" Type="http://schemas.openxmlformats.org/officeDocument/2006/relationships/hyperlink" Target="http://nanozip.ijat.my/nanozip-0.09a.win64.zip" TargetMode="External"/><Relationship Id="rId181" Type="http://schemas.openxmlformats.org/officeDocument/2006/relationships/hyperlink" Target="ftp://ftp.sac.sk/pub/sac/pack/x1nt95a.zip" TargetMode="External"/><Relationship Id="rId237" Type="http://schemas.openxmlformats.org/officeDocument/2006/relationships/hyperlink" Target="ftp://ftp.sac.sk/pub/sac/pack/qlfc6_6w.rar" TargetMode="External"/><Relationship Id="rId402" Type="http://schemas.openxmlformats.org/officeDocument/2006/relationships/hyperlink" Target="https://github.com/facebook/zstd" TargetMode="External"/><Relationship Id="rId279" Type="http://schemas.openxmlformats.org/officeDocument/2006/relationships/hyperlink" Target="http://freearc.org/" TargetMode="External"/><Relationship Id="rId43" Type="http://schemas.openxmlformats.org/officeDocument/2006/relationships/hyperlink" Target="http://sourceforge.net/projects/ciderpress/" TargetMode="External"/><Relationship Id="rId139" Type="http://schemas.openxmlformats.org/officeDocument/2006/relationships/hyperlink" Target="ftp://ftp.sac.sk/pub/sac/pack/arjz015.zip" TargetMode="External"/><Relationship Id="rId290" Type="http://schemas.openxmlformats.org/officeDocument/2006/relationships/hyperlink" Target="http://heartofcomp.altervista.org/zcm.zip" TargetMode="External"/><Relationship Id="rId304" Type="http://schemas.openxmlformats.org/officeDocument/2006/relationships/hyperlink" Target="http://encode.ru/attachment.php?attachmentid=2568&amp;d=1386072406" TargetMode="External"/><Relationship Id="rId346" Type="http://schemas.openxmlformats.org/officeDocument/2006/relationships/hyperlink" Target="https://github.com/inikep/lz5" TargetMode="External"/><Relationship Id="rId388" Type="http://schemas.openxmlformats.org/officeDocument/2006/relationships/hyperlink" Target="http://fileforums.com/showthread.php?t=97530" TargetMode="External"/><Relationship Id="rId85" Type="http://schemas.openxmlformats.org/officeDocument/2006/relationships/hyperlink" Target="ftp://ftp.sac.sk/pub/sac/pack/ddjcompr.zip" TargetMode="External"/><Relationship Id="rId150" Type="http://schemas.openxmlformats.org/officeDocument/2006/relationships/hyperlink" Target="ftp://ftp.sac.sk/pub/sac/pack/amgc22.zip" TargetMode="External"/><Relationship Id="rId192" Type="http://schemas.openxmlformats.org/officeDocument/2006/relationships/hyperlink" Target="ftp://ftp.sac.sk/pub/sac/pack/dst09b.zip" TargetMode="External"/><Relationship Id="rId206" Type="http://schemas.openxmlformats.org/officeDocument/2006/relationships/hyperlink" Target="http://www.iceows.com/Download/Ice420U.exe" TargetMode="External"/><Relationship Id="rId413" Type="http://schemas.openxmlformats.org/officeDocument/2006/relationships/hyperlink" Target="https://encode.ru/attachment.php?attachmentid=5284&amp;d=1504849543" TargetMode="External"/><Relationship Id="rId248" Type="http://schemas.openxmlformats.org/officeDocument/2006/relationships/hyperlink" Target="http://www.sp-download.de/sq5/sq5u_x64.exe" TargetMode="External"/><Relationship Id="rId12" Type="http://schemas.openxmlformats.org/officeDocument/2006/relationships/hyperlink" Target="http://www.7-zip.org/" TargetMode="External"/><Relationship Id="rId108" Type="http://schemas.openxmlformats.org/officeDocument/2006/relationships/hyperlink" Target="ftp://ftp.sac.sk/pub/sac/pack/hyper26.zip" TargetMode="External"/><Relationship Id="rId315" Type="http://schemas.openxmlformats.org/officeDocument/2006/relationships/hyperlink" Target="http://encode.ru/attachment.php?attachmentid=3027&amp;d=1404117733" TargetMode="External"/><Relationship Id="rId357" Type="http://schemas.openxmlformats.org/officeDocument/2006/relationships/hyperlink" Target="http://www.7-zip.org/" TargetMode="External"/><Relationship Id="rId54" Type="http://schemas.openxmlformats.org/officeDocument/2006/relationships/hyperlink" Target="http://www.b1.org/" TargetMode="External"/><Relationship Id="rId96" Type="http://schemas.openxmlformats.org/officeDocument/2006/relationships/hyperlink" Target="ftp://ftp.sac.sk/pub/sac/pack/zoo210.exe" TargetMode="External"/><Relationship Id="rId161" Type="http://schemas.openxmlformats.org/officeDocument/2006/relationships/hyperlink" Target="ftp://ftp.sac.sk/pub/sac/pack/dca101.exe" TargetMode="External"/><Relationship Id="rId217" Type="http://schemas.openxmlformats.org/officeDocument/2006/relationships/hyperlink" Target="http://compressionratings.com/files/ecp-0.e.s.zip" TargetMode="External"/><Relationship Id="rId399" Type="http://schemas.openxmlformats.org/officeDocument/2006/relationships/hyperlink" Target="http://nauful.com/pages/cm4.php" TargetMode="External"/><Relationship Id="rId259" Type="http://schemas.openxmlformats.org/officeDocument/2006/relationships/hyperlink" Target="http://mattmahoney.net/dc/m99.zip" TargetMode="External"/><Relationship Id="rId424" Type="http://schemas.openxmlformats.org/officeDocument/2006/relationships/comments" Target="../comments1.xml"/><Relationship Id="rId23" Type="http://schemas.openxmlformats.org/officeDocument/2006/relationships/hyperlink" Target="http://www.gzip.org/" TargetMode="External"/><Relationship Id="rId119" Type="http://schemas.openxmlformats.org/officeDocument/2006/relationships/hyperlink" Target="ftp://ftp.sac.sk/pub/sac/pack/sbx14.zip" TargetMode="External"/><Relationship Id="rId270" Type="http://schemas.openxmlformats.org/officeDocument/2006/relationships/hyperlink" Target="https://github.com/tarsa/TarsaLZP" TargetMode="External"/><Relationship Id="rId326" Type="http://schemas.openxmlformats.org/officeDocument/2006/relationships/hyperlink" Target="http://encode.ru/attachment.php?attachmentid=3391&amp;d=1423111451" TargetMode="External"/><Relationship Id="rId65" Type="http://schemas.openxmlformats.org/officeDocument/2006/relationships/hyperlink" Target="http://bindesh.youneedme.googlepages.com/RLC.zip" TargetMode="External"/><Relationship Id="rId130" Type="http://schemas.openxmlformats.org/officeDocument/2006/relationships/hyperlink" Target="ftp://ftp.sac.sk/pub/sac/pack/car150.zip" TargetMode="External"/><Relationship Id="rId368" Type="http://schemas.openxmlformats.org/officeDocument/2006/relationships/hyperlink" Target="http://www.hyec.org/~da0ka/c/compress/bmgvc/bmgvc.7z" TargetMode="External"/><Relationship Id="rId172" Type="http://schemas.openxmlformats.org/officeDocument/2006/relationships/hyperlink" Target="http://encode.ru/attachment.php?attachmentid=1958&amp;d=1339160220" TargetMode="External"/><Relationship Id="rId228" Type="http://schemas.openxmlformats.org/officeDocument/2006/relationships/hyperlink" Target="ftp://ftp.sac.sk/pub/sac/pack/winrk312.exe" TargetMode="External"/><Relationship Id="rId281" Type="http://schemas.openxmlformats.org/officeDocument/2006/relationships/hyperlink" Target="mailto:info@squeezechart.com" TargetMode="External"/><Relationship Id="rId337" Type="http://schemas.openxmlformats.org/officeDocument/2006/relationships/hyperlink" Target="http://encode.ru/attachment.php?attachmentid=3670&amp;d=1433096639" TargetMode="External"/><Relationship Id="rId34" Type="http://schemas.openxmlformats.org/officeDocument/2006/relationships/hyperlink" Target="https://sites.google.com/site/sbcarchiver" TargetMode="External"/><Relationship Id="rId76" Type="http://schemas.openxmlformats.org/officeDocument/2006/relationships/hyperlink" Target="ftp://ftp.sac.sk/pub/sac/pack/tlzrw1.zip" TargetMode="External"/><Relationship Id="rId141" Type="http://schemas.openxmlformats.org/officeDocument/2006/relationships/hyperlink" Target="http://peazip.sourceforge.net/" TargetMode="External"/><Relationship Id="rId379" Type="http://schemas.openxmlformats.org/officeDocument/2006/relationships/hyperlink" Target="http://heartofcomp.altervista.org/packet1.9.zip" TargetMode="External"/><Relationship Id="rId7" Type="http://schemas.openxmlformats.org/officeDocument/2006/relationships/hyperlink" Target="http://freearc.org/" TargetMode="External"/><Relationship Id="rId183" Type="http://schemas.openxmlformats.org/officeDocument/2006/relationships/hyperlink" Target="ftp://ftp.sac.sk/pub/sac/pack/rar200sk.exe" TargetMode="External"/><Relationship Id="rId239" Type="http://schemas.openxmlformats.org/officeDocument/2006/relationships/hyperlink" Target="http://www.emit.jp/dgca/dgca_v110e.exe" TargetMode="External"/><Relationship Id="rId390" Type="http://schemas.openxmlformats.org/officeDocument/2006/relationships/hyperlink" Target="http://fileforums.com/showthread.php?t=97530" TargetMode="External"/><Relationship Id="rId404" Type="http://schemas.openxmlformats.org/officeDocument/2006/relationships/hyperlink" Target="http://compressme.net/ulz006.zip" TargetMode="External"/><Relationship Id="rId250" Type="http://schemas.openxmlformats.org/officeDocument/2006/relationships/hyperlink" Target="http://www.cs.fit.edu/~mmahoney/compression/lpaq1v2.zip" TargetMode="External"/><Relationship Id="rId292" Type="http://schemas.openxmlformats.org/officeDocument/2006/relationships/hyperlink" Target="http://sourceforge.net/projects/crush/" TargetMode="External"/><Relationship Id="rId306" Type="http://schemas.openxmlformats.org/officeDocument/2006/relationships/hyperlink" Target="http://encode.ru/attachment.php?attachmentid=2622&amp;d=1386604070" TargetMode="External"/><Relationship Id="rId45" Type="http://schemas.openxmlformats.org/officeDocument/2006/relationships/hyperlink" Target="http://sourceforge.net/projects/ciderpress/" TargetMode="External"/><Relationship Id="rId87" Type="http://schemas.openxmlformats.org/officeDocument/2006/relationships/hyperlink" Target="ftp://ftp.sac.sk/pub/sac/pack/ddjcompr.zip" TargetMode="External"/><Relationship Id="rId110" Type="http://schemas.openxmlformats.org/officeDocument/2006/relationships/hyperlink" Target="http://www.softpedia.com/get/Compression-tools/aPackage.shtml" TargetMode="External"/><Relationship Id="rId348" Type="http://schemas.openxmlformats.org/officeDocument/2006/relationships/hyperlink" Target="https://github.com/schnaader/precomp-cpp" TargetMode="External"/><Relationship Id="rId152" Type="http://schemas.openxmlformats.org/officeDocument/2006/relationships/hyperlink" Target="ftp://ftp.sac.sk/pub/sac/pack/sky115.zip" TargetMode="External"/><Relationship Id="rId194" Type="http://schemas.openxmlformats.org/officeDocument/2006/relationships/hyperlink" Target="ftp://ftp.sac.sk/pub/sac/pack/exp1.zip" TargetMode="External"/><Relationship Id="rId208" Type="http://schemas.openxmlformats.org/officeDocument/2006/relationships/hyperlink" Target="ftp://ftp.sac.sk/pub/sac/pack/stuff85e.exe" TargetMode="External"/><Relationship Id="rId415" Type="http://schemas.openxmlformats.org/officeDocument/2006/relationships/hyperlink" Target="http://www.hyec.org/~da0ka/c/compress/ppm/ppmhuff-0.3.c" TargetMode="External"/><Relationship Id="rId261" Type="http://schemas.openxmlformats.org/officeDocument/2006/relationships/hyperlink" Target="http://www.michael-maniscalco.com/index.htm" TargetMode="External"/><Relationship Id="rId14" Type="http://schemas.openxmlformats.org/officeDocument/2006/relationships/hyperlink" Target="http://libbsc.com/" TargetMode="External"/><Relationship Id="rId56" Type="http://schemas.openxmlformats.org/officeDocument/2006/relationships/hyperlink" Target="http://encode.ru/attachment.php?attachmentid=3391&amp;d=1423111451" TargetMode="External"/><Relationship Id="rId317" Type="http://schemas.openxmlformats.org/officeDocument/2006/relationships/hyperlink" Target="https://github.com/moinakg/pcompress" TargetMode="External"/><Relationship Id="rId359" Type="http://schemas.openxmlformats.org/officeDocument/2006/relationships/hyperlink" Target="https://github.com/akamiru/bce" TargetMode="External"/><Relationship Id="rId98" Type="http://schemas.openxmlformats.org/officeDocument/2006/relationships/hyperlink" Target="ftp://ftp.sac.sk/pub/sac/pack/tscomp.zip" TargetMode="External"/><Relationship Id="rId121" Type="http://schemas.openxmlformats.org/officeDocument/2006/relationships/hyperlink" Target="ftp://ftp.sac.sk/pub/sac/pack/lzop103w.zip" TargetMode="External"/><Relationship Id="rId163" Type="http://schemas.openxmlformats.org/officeDocument/2006/relationships/hyperlink" Target="http://freearc.org/download/research/4x4ver01.zip" TargetMode="External"/><Relationship Id="rId219" Type="http://schemas.openxmlformats.org/officeDocument/2006/relationships/hyperlink" Target="http://www.winarchiver.com/" TargetMode="External"/><Relationship Id="rId370" Type="http://schemas.openxmlformats.org/officeDocument/2006/relationships/hyperlink" Target="http://www.hyec.org/~da0ka/c/compress/fpaq/fpaq0s6a.cpp" TargetMode="External"/><Relationship Id="rId230" Type="http://schemas.openxmlformats.org/officeDocument/2006/relationships/hyperlink" Target="ftp://ftp.sac.sk/pub/sac/pack/grzip.zip" TargetMode="External"/><Relationship Id="rId25" Type="http://schemas.openxmlformats.org/officeDocument/2006/relationships/hyperlink" Target="https://drive.google.com/open?id=0ByLIAFlgldSoNmpfYU43WjlyZFE" TargetMode="External"/><Relationship Id="rId67" Type="http://schemas.openxmlformats.org/officeDocument/2006/relationships/hyperlink" Target="http://compressionratings.com/files/mtcompressor-1.0.7z" TargetMode="External"/><Relationship Id="rId272" Type="http://schemas.openxmlformats.org/officeDocument/2006/relationships/hyperlink" Target="http://mattmahoney.net/dc/symbra02.zip" TargetMode="External"/><Relationship Id="rId328" Type="http://schemas.openxmlformats.org/officeDocument/2006/relationships/hyperlink" Target="http://encode.ru/attachment.php?attachmentid=3392&amp;d=1423548712" TargetMode="External"/><Relationship Id="rId132" Type="http://schemas.openxmlformats.org/officeDocument/2006/relationships/hyperlink" Target="http://www.softpedia.com/get/Compression-tools/CHAOS-Compressor.shtml" TargetMode="External"/><Relationship Id="rId174" Type="http://schemas.openxmlformats.org/officeDocument/2006/relationships/hyperlink" Target="http://heartofcomp.altervista.org/" TargetMode="External"/><Relationship Id="rId381" Type="http://schemas.openxmlformats.org/officeDocument/2006/relationships/hyperlink" Target="http://www.hyec.org/~da0ka/c/compress/crush/crush-1.4.7z" TargetMode="External"/><Relationship Id="rId241" Type="http://schemas.openxmlformats.org/officeDocument/2006/relationships/hyperlink" Target="ftp://ftp.sac.sk/pub/sac/pack/uhbc10.zip" TargetMode="External"/><Relationship Id="rId36" Type="http://schemas.openxmlformats.org/officeDocument/2006/relationships/hyperlink" Target="http://www.compression.ru/ds/" TargetMode="External"/><Relationship Id="rId283" Type="http://schemas.openxmlformats.org/officeDocument/2006/relationships/hyperlink" Target="http://mattmahoney.net/dc/lpaq4.zip" TargetMode="External"/><Relationship Id="rId339" Type="http://schemas.openxmlformats.org/officeDocument/2006/relationships/hyperlink" Target="http://heartofcomp.altervista.org/index.htm" TargetMode="External"/><Relationship Id="rId78" Type="http://schemas.openxmlformats.org/officeDocument/2006/relationships/hyperlink" Target="ftp://ftp.sac.sk/pub/sac/pack/blink.zip" TargetMode="External"/><Relationship Id="rId101" Type="http://schemas.openxmlformats.org/officeDocument/2006/relationships/hyperlink" Target="ftp://ftp.sac.sk/pub/sac/pack/ucl101.tgz" TargetMode="External"/><Relationship Id="rId143" Type="http://schemas.openxmlformats.org/officeDocument/2006/relationships/hyperlink" Target="ftp://ftp.sac.sk/pub/sac/pack/zet010.zip" TargetMode="External"/><Relationship Id="rId185" Type="http://schemas.openxmlformats.org/officeDocument/2006/relationships/hyperlink" Target="ftp://ftp.sac.sk/pub/sac/pack/arh140.zip" TargetMode="External"/><Relationship Id="rId350" Type="http://schemas.openxmlformats.org/officeDocument/2006/relationships/hyperlink" Target="https://github.com/encode84/bcm" TargetMode="External"/><Relationship Id="rId406" Type="http://schemas.openxmlformats.org/officeDocument/2006/relationships/hyperlink" Target="https://sites.google.com/site/ctxtree/crush-codec" TargetMode="External"/><Relationship Id="rId9" Type="http://schemas.openxmlformats.org/officeDocument/2006/relationships/hyperlink" Target="http://www.winzip.com/" TargetMode="External"/><Relationship Id="rId210" Type="http://schemas.openxmlformats.org/officeDocument/2006/relationships/hyperlink" Target="ftp://ftp.sac.sk/pub/sac/pack/zzip036c.zip" TargetMode="External"/><Relationship Id="rId392" Type="http://schemas.openxmlformats.org/officeDocument/2006/relationships/hyperlink" Target="https://github.com/mbitsnbites/liblzg" TargetMode="External"/><Relationship Id="rId252" Type="http://schemas.openxmlformats.org/officeDocument/2006/relationships/hyperlink" Target="http://encode.narod.ru/ppmx008.zip" TargetMode="External"/><Relationship Id="rId294" Type="http://schemas.openxmlformats.org/officeDocument/2006/relationships/hyperlink" Target="http://encode.ru/attachment.php?attachmentid=2370&amp;d=1373103974" TargetMode="External"/><Relationship Id="rId308" Type="http://schemas.openxmlformats.org/officeDocument/2006/relationships/hyperlink" Target="http://mattmahoney.net/dc/zpaq.html" TargetMode="External"/><Relationship Id="rId47" Type="http://schemas.openxmlformats.org/officeDocument/2006/relationships/hyperlink" Target="ftp://ftp.sac.sk/pub/sac/pack" TargetMode="External"/><Relationship Id="rId89" Type="http://schemas.openxmlformats.org/officeDocument/2006/relationships/hyperlink" Target="ftp://ftp.sac.sk/pub/sac/pack/lzs221.zip" TargetMode="External"/><Relationship Id="rId112" Type="http://schemas.openxmlformats.org/officeDocument/2006/relationships/hyperlink" Target="ftp://ftp.sac.sk/pub/sac/pack/squish10.zip" TargetMode="External"/><Relationship Id="rId154" Type="http://schemas.openxmlformats.org/officeDocument/2006/relationships/hyperlink" Target="ftp://ftp.sac.sk/pub/sac/pack/lhark04d.zip" TargetMode="External"/><Relationship Id="rId361" Type="http://schemas.openxmlformats.org/officeDocument/2006/relationships/hyperlink" Target="http://www.nongnu.org/lzip/plzip.html" TargetMode="External"/><Relationship Id="rId196" Type="http://schemas.openxmlformats.org/officeDocument/2006/relationships/hyperlink" Target="http://freecode.com/projects/lbzip2" TargetMode="External"/><Relationship Id="rId417" Type="http://schemas.openxmlformats.org/officeDocument/2006/relationships/hyperlink" Target="http://www.cbloom.com/src/lzcb40.zip" TargetMode="External"/><Relationship Id="rId16" Type="http://schemas.openxmlformats.org/officeDocument/2006/relationships/hyperlink" Target="http://code.google.com/p/lzham/" TargetMode="External"/><Relationship Id="rId221" Type="http://schemas.openxmlformats.org/officeDocument/2006/relationships/hyperlink" Target="ftp://ftp.sac.sk/pub/sac/pack/ctxf075p.zip" TargetMode="External"/><Relationship Id="rId263" Type="http://schemas.openxmlformats.org/officeDocument/2006/relationships/hyperlink" Target="http://code.google.com/p/data-shrinker/" TargetMode="External"/><Relationship Id="rId319" Type="http://schemas.openxmlformats.org/officeDocument/2006/relationships/hyperlink" Target="http://heartofcomp.altervista.org/lza081.zip" TargetMode="External"/><Relationship Id="rId58" Type="http://schemas.openxmlformats.org/officeDocument/2006/relationships/hyperlink" Target="http://compressionratings.com/files/mnzip-0.zip" TargetMode="External"/><Relationship Id="rId123" Type="http://schemas.openxmlformats.org/officeDocument/2006/relationships/hyperlink" Target="http://www.senthilkumarr.com/" TargetMode="External"/><Relationship Id="rId330" Type="http://schemas.openxmlformats.org/officeDocument/2006/relationships/hyperlink" Target="https://github.com/richgel999/lzham_codec_devel" TargetMode="External"/><Relationship Id="rId165" Type="http://schemas.openxmlformats.org/officeDocument/2006/relationships/hyperlink" Target="http://freearc.org/download/research/tornado04.zip" TargetMode="External"/><Relationship Id="rId372" Type="http://schemas.openxmlformats.org/officeDocument/2006/relationships/hyperlink" Target="http://www.hyec.org/~da0ka/c/compress/ahree/ahree-2.2.c" TargetMode="External"/><Relationship Id="rId232" Type="http://schemas.openxmlformats.org/officeDocument/2006/relationships/hyperlink" Target="ftp://ftp.sac.sk/pub/sac/pack/tc43.zip" TargetMode="External"/><Relationship Id="rId274" Type="http://schemas.openxmlformats.org/officeDocument/2006/relationships/hyperlink" Target="http://mattmahoney.net/dc/lazy100.zip" TargetMode="External"/><Relationship Id="rId27" Type="http://schemas.openxmlformats.org/officeDocument/2006/relationships/hyperlink" Target="https://drive.google.com/file/d/0ByLIAFlgldSoWHBUUUotVWZYWGM/view?usp=sharing" TargetMode="External"/><Relationship Id="rId69" Type="http://schemas.openxmlformats.org/officeDocument/2006/relationships/hyperlink" Target="ftp://ftp.sac.sk/pub/sac/pack/wbcomp.zip" TargetMode="External"/><Relationship Id="rId134" Type="http://schemas.openxmlformats.org/officeDocument/2006/relationships/hyperlink" Target="ftp://ftp.sac.sk/pub/sac/pack/hpack79d.zip" TargetMode="External"/><Relationship Id="rId80" Type="http://schemas.openxmlformats.org/officeDocument/2006/relationships/hyperlink" Target="ftp://ftp.sac.sk/pub/sac/pack/pkze110s.exe" TargetMode="External"/><Relationship Id="rId176" Type="http://schemas.openxmlformats.org/officeDocument/2006/relationships/hyperlink" Target="ftp://ftp.sac.sk/pub/sac/pack/lzpx15b.zip" TargetMode="External"/><Relationship Id="rId341" Type="http://schemas.openxmlformats.org/officeDocument/2006/relationships/hyperlink" Target="http://heartofcomp.altervista.org/packet1.2.zip" TargetMode="External"/><Relationship Id="rId383" Type="http://schemas.openxmlformats.org/officeDocument/2006/relationships/hyperlink" Target="https://github.com/facebook/zstd" TargetMode="External"/><Relationship Id="rId201" Type="http://schemas.openxmlformats.org/officeDocument/2006/relationships/hyperlink" Target="ftp://ftp.sac.sk/pub/sac/pack/transfrm.zip" TargetMode="External"/><Relationship Id="rId243" Type="http://schemas.openxmlformats.org/officeDocument/2006/relationships/hyperlink" Target="http://nishi.dreamhosters.com/u/lzmarec_v4b_bin.rar" TargetMode="External"/><Relationship Id="rId285" Type="http://schemas.openxmlformats.org/officeDocument/2006/relationships/hyperlink" Target="http://mattmahoney.net/dc/zpaq.html" TargetMode="External"/><Relationship Id="rId17" Type="http://schemas.openxmlformats.org/officeDocument/2006/relationships/hyperlink" Target="http://code.google.com/p/lzham/" TargetMode="External"/><Relationship Id="rId38" Type="http://schemas.openxmlformats.org/officeDocument/2006/relationships/hyperlink" Target="http://www.compression.ru/ds/" TargetMode="External"/><Relationship Id="rId59" Type="http://schemas.openxmlformats.org/officeDocument/2006/relationships/hyperlink" Target="http://www.stuffit.com/" TargetMode="External"/><Relationship Id="rId103" Type="http://schemas.openxmlformats.org/officeDocument/2006/relationships/hyperlink" Target="ftp://ftp.sac.sk/pub/sac/pack/cha1-2.exe" TargetMode="External"/><Relationship Id="rId124" Type="http://schemas.openxmlformats.org/officeDocument/2006/relationships/hyperlink" Target="ftp://ftp.sac.sk/pub/sac/pack/arq32.zip" TargetMode="External"/><Relationship Id="rId310" Type="http://schemas.openxmlformats.org/officeDocument/2006/relationships/hyperlink" Target="https://github.com/richox/zling" TargetMode="External"/><Relationship Id="rId70" Type="http://schemas.openxmlformats.org/officeDocument/2006/relationships/hyperlink" Target="ftp://ftp.sac.sk/pub/sac/pack/jarcs094.exe" TargetMode="External"/><Relationship Id="rId91" Type="http://schemas.openxmlformats.org/officeDocument/2006/relationships/hyperlink" Target="http://fastcompression.blogspot.de/p/lz4.html" TargetMode="External"/><Relationship Id="rId145" Type="http://schemas.openxmlformats.org/officeDocument/2006/relationships/hyperlink" Target="ftp://ftp.sac.sk/pub/sac/pack/ain232.exe" TargetMode="External"/><Relationship Id="rId166" Type="http://schemas.openxmlformats.org/officeDocument/2006/relationships/hyperlink" Target="http://freearc.org/download/research/tornado03.zip" TargetMode="External"/><Relationship Id="rId187" Type="http://schemas.openxmlformats.org/officeDocument/2006/relationships/hyperlink" Target="ftp://ftp.sac.sk/pub/sac/pack/par200a.exe" TargetMode="External"/><Relationship Id="rId331" Type="http://schemas.openxmlformats.org/officeDocument/2006/relationships/hyperlink" Target="http://tukaani.org/xz/" TargetMode="External"/><Relationship Id="rId352" Type="http://schemas.openxmlformats.org/officeDocument/2006/relationships/hyperlink" Target="https://sourceforge.net/projects/unzip-ada/files/" TargetMode="External"/><Relationship Id="rId373" Type="http://schemas.openxmlformats.org/officeDocument/2006/relationships/hyperlink" Target="http://www.hyec.org/~da0ka/c/compress/hpz/hpz-2.c" TargetMode="External"/><Relationship Id="rId394" Type="http://schemas.openxmlformats.org/officeDocument/2006/relationships/hyperlink" Target="https://github.com/inikep/lizard" TargetMode="External"/><Relationship Id="rId408" Type="http://schemas.openxmlformats.org/officeDocument/2006/relationships/hyperlink" Target="https://github.com/atomicobject/heatshrink" TargetMode="External"/><Relationship Id="rId1" Type="http://schemas.openxmlformats.org/officeDocument/2006/relationships/hyperlink" Target="mailto:squeezechart@gmx.de" TargetMode="External"/><Relationship Id="rId212" Type="http://schemas.openxmlformats.org/officeDocument/2006/relationships/hyperlink" Target="http://freearc.org/download/research/4x4ver01.zip" TargetMode="External"/><Relationship Id="rId233" Type="http://schemas.openxmlformats.org/officeDocument/2006/relationships/hyperlink" Target="ftp://ftp.sac.sk/pub/sac/pack/dc124.zip" TargetMode="External"/><Relationship Id="rId254" Type="http://schemas.openxmlformats.org/officeDocument/2006/relationships/hyperlink" Target="http://www.ctxmodel.net/files/LZP-DS_v0.rar" TargetMode="External"/><Relationship Id="rId28" Type="http://schemas.openxmlformats.org/officeDocument/2006/relationships/hyperlink" Target="https://drive.google.com/file/d/0ByLIAFlgldSoQmFFdlFTTTJCZFk/view?usp=sharing" TargetMode="External"/><Relationship Id="rId49" Type="http://schemas.openxmlformats.org/officeDocument/2006/relationships/hyperlink" Target="http://cbloom.com/" TargetMode="External"/><Relationship Id="rId114" Type="http://schemas.openxmlformats.org/officeDocument/2006/relationships/hyperlink" Target="ftp://ftp.sac.sk/pub/sac/pack/eli5750.zip" TargetMode="External"/><Relationship Id="rId275" Type="http://schemas.openxmlformats.org/officeDocument/2006/relationships/hyperlink" Target="http://encode.ru/attachment.php?attachmentid=1767&amp;d=1323796993" TargetMode="External"/><Relationship Id="rId296" Type="http://schemas.openxmlformats.org/officeDocument/2006/relationships/hyperlink" Target="http://www.centaurean.com/sharc" TargetMode="External"/><Relationship Id="rId300" Type="http://schemas.openxmlformats.org/officeDocument/2006/relationships/hyperlink" Target="http://libbsc.com/" TargetMode="External"/><Relationship Id="rId60" Type="http://schemas.openxmlformats.org/officeDocument/2006/relationships/hyperlink" Target="http://www.nongnu.org/lzip/lzip.html" TargetMode="External"/><Relationship Id="rId81" Type="http://schemas.openxmlformats.org/officeDocument/2006/relationships/hyperlink" Target="ftp://ftp.sac.sk/pub/sac/pack/pak1_0.zip" TargetMode="External"/><Relationship Id="rId135" Type="http://schemas.openxmlformats.org/officeDocument/2006/relationships/hyperlink" Target="ftp://ftp.sac.sk/pub/sac/pack/hap306.zip" TargetMode="External"/><Relationship Id="rId156" Type="http://schemas.openxmlformats.org/officeDocument/2006/relationships/hyperlink" Target="ftp://ftp.sac.sk/pub/sac/pack/tplzh031.zip" TargetMode="External"/><Relationship Id="rId177" Type="http://schemas.openxmlformats.org/officeDocument/2006/relationships/hyperlink" Target="ftp://ftp.sac.sk/pub/sac/pack/semone06.zip" TargetMode="External"/><Relationship Id="rId198" Type="http://schemas.openxmlformats.org/officeDocument/2006/relationships/hyperlink" Target="http://www.rkeene.org/oss/dact/" TargetMode="External"/><Relationship Id="rId321" Type="http://schemas.openxmlformats.org/officeDocument/2006/relationships/hyperlink" Target="http://encode.ru/attachment.php?attachmentid=3236&amp;d=1415756829" TargetMode="External"/><Relationship Id="rId342" Type="http://schemas.openxmlformats.org/officeDocument/2006/relationships/hyperlink" Target="https://github.com/google/brotli/" TargetMode="External"/><Relationship Id="rId363" Type="http://schemas.openxmlformats.org/officeDocument/2006/relationships/hyperlink" Target="https://github.com/StephanBusch/EcoZip" TargetMode="External"/><Relationship Id="rId384" Type="http://schemas.openxmlformats.org/officeDocument/2006/relationships/hyperlink" Target="http://encode.ru/attachment.php?attachmentid=4699&amp;d=1475957410" TargetMode="External"/><Relationship Id="rId419" Type="http://schemas.openxmlformats.org/officeDocument/2006/relationships/hyperlink" Target="http://ftp.sac.sk/sac/pack/nanozipw.zip" TargetMode="External"/><Relationship Id="rId202" Type="http://schemas.openxmlformats.org/officeDocument/2006/relationships/hyperlink" Target="ftp://ftp.sac.sk/pub/sac/pack/quad112.zip" TargetMode="External"/><Relationship Id="rId223" Type="http://schemas.openxmlformats.org/officeDocument/2006/relationships/hyperlink" Target="http://forrox.narod.ru/files/bma_1.35beta.rar" TargetMode="External"/><Relationship Id="rId244" Type="http://schemas.openxmlformats.org/officeDocument/2006/relationships/hyperlink" Target="http://encode.ru/attachment.php?attachmentid=1400&amp;d=1288545534" TargetMode="External"/><Relationship Id="rId18" Type="http://schemas.openxmlformats.org/officeDocument/2006/relationships/hyperlink" Target="http://www.winace.com/" TargetMode="External"/><Relationship Id="rId39" Type="http://schemas.openxmlformats.org/officeDocument/2006/relationships/hyperlink" Target="https://drive.google.com/file/d/0ByLIAFlgldSoOEF0UHQtQk4zelk/view?usp=sharing" TargetMode="External"/><Relationship Id="rId265" Type="http://schemas.openxmlformats.org/officeDocument/2006/relationships/hyperlink" Target="http://shelwien.googlepages.com/fpaq0pv4b.rar" TargetMode="External"/><Relationship Id="rId286" Type="http://schemas.openxmlformats.org/officeDocument/2006/relationships/hyperlink" Target="http://code.google.com/p/miniz/" TargetMode="External"/><Relationship Id="rId50" Type="http://schemas.openxmlformats.org/officeDocument/2006/relationships/hyperlink" Target="http://cbloom.com/" TargetMode="External"/><Relationship Id="rId104" Type="http://schemas.openxmlformats.org/officeDocument/2006/relationships/hyperlink" Target="ftp://ftp.sac.sk/pub/sac/pack/jam.zip" TargetMode="External"/><Relationship Id="rId125" Type="http://schemas.openxmlformats.org/officeDocument/2006/relationships/hyperlink" Target="ftp://ftp.sac.sk/pub/sac/pack/lha267e.exe" TargetMode="External"/><Relationship Id="rId146" Type="http://schemas.openxmlformats.org/officeDocument/2006/relationships/hyperlink" Target="ftp://ftp.sac.sk/pub/sac/pack/sqz1083e.exe" TargetMode="External"/><Relationship Id="rId167" Type="http://schemas.openxmlformats.org/officeDocument/2006/relationships/hyperlink" Target="http://archiver.reasonables.com/Download.aspx" TargetMode="External"/><Relationship Id="rId188" Type="http://schemas.openxmlformats.org/officeDocument/2006/relationships/hyperlink" Target="http://www.winhki.com/download/setuphki.exe" TargetMode="External"/><Relationship Id="rId311" Type="http://schemas.openxmlformats.org/officeDocument/2006/relationships/hyperlink" Target="https://dl.dropboxusercontent.com/u/59565338/Zhuff/Zhuffv09c.zip" TargetMode="External"/><Relationship Id="rId332" Type="http://schemas.openxmlformats.org/officeDocument/2006/relationships/hyperlink" Target="https://github.com/moinakg/pcompress" TargetMode="External"/><Relationship Id="rId353" Type="http://schemas.openxmlformats.org/officeDocument/2006/relationships/hyperlink" Target="https://sourceforge.net/projects/unzip-ada/files/" TargetMode="External"/><Relationship Id="rId374" Type="http://schemas.openxmlformats.org/officeDocument/2006/relationships/hyperlink" Target="https://github.com/dbry/lzw-ab" TargetMode="External"/><Relationship Id="rId395" Type="http://schemas.openxmlformats.org/officeDocument/2006/relationships/hyperlink" Target="https://github.com/ebiggers/libdeflate" TargetMode="External"/><Relationship Id="rId409" Type="http://schemas.openxmlformats.org/officeDocument/2006/relationships/hyperlink" Target="http://cbloomrants.blogspot.de/2015/03/03-25-15-my-chameleon.html" TargetMode="External"/><Relationship Id="rId71" Type="http://schemas.openxmlformats.org/officeDocument/2006/relationships/hyperlink" Target="http://ssergeo.narod.ru/" TargetMode="External"/><Relationship Id="rId92" Type="http://schemas.openxmlformats.org/officeDocument/2006/relationships/hyperlink" Target="http://fastcompression.blogspot.de/p/lz4.html" TargetMode="External"/><Relationship Id="rId213" Type="http://schemas.openxmlformats.org/officeDocument/2006/relationships/hyperlink" Target="http://encode.narod.ru/pim290.zip" TargetMode="External"/><Relationship Id="rId234" Type="http://schemas.openxmlformats.org/officeDocument/2006/relationships/hyperlink" Target="http://www.kuaizip.com/en/" TargetMode="External"/><Relationship Id="rId420" Type="http://schemas.openxmlformats.org/officeDocument/2006/relationships/printerSettings" Target="../printerSettings/printerSettings4.bin"/><Relationship Id="rId2" Type="http://schemas.openxmlformats.org/officeDocument/2006/relationships/hyperlink" Target="http://www.ezcodesample.com/rolz/iROLZ.exe" TargetMode="External"/><Relationship Id="rId29" Type="http://schemas.openxmlformats.org/officeDocument/2006/relationships/hyperlink" Target="https://drive.google.com/file/d/0ByLIAFlgldSoMDk3OW1BX1pUZnM/view?usp=sharing" TargetMode="External"/><Relationship Id="rId255" Type="http://schemas.openxmlformats.org/officeDocument/2006/relationships/hyperlink" Target="http://schnaader.info/precomp.php" TargetMode="External"/><Relationship Id="rId276" Type="http://schemas.openxmlformats.org/officeDocument/2006/relationships/hyperlink" Target="http://encode.ru/attachment.php?attachmentid=2035&amp;d=1350096607" TargetMode="External"/><Relationship Id="rId297" Type="http://schemas.openxmlformats.org/officeDocument/2006/relationships/hyperlink" Target="http://encode.ru/attachment.php?attachmentid=2370&amp;d=1373103974" TargetMode="External"/><Relationship Id="rId40" Type="http://schemas.openxmlformats.org/officeDocument/2006/relationships/hyperlink" Target="http://www.nicodevries.com/nico/professional.php" TargetMode="External"/><Relationship Id="rId115" Type="http://schemas.openxmlformats.org/officeDocument/2006/relationships/hyperlink" Target="ftp://ftp.sac.sk/pub/sac/pack/ice102c.zip" TargetMode="External"/><Relationship Id="rId136" Type="http://schemas.openxmlformats.org/officeDocument/2006/relationships/hyperlink" Target="ftp://ftp.sac.sk/pub/sac/pack/hap40td2.zip" TargetMode="External"/><Relationship Id="rId157" Type="http://schemas.openxmlformats.org/officeDocument/2006/relationships/hyperlink" Target="ftp://ftp.sac.sk/pub/sac/pack/akt32.zip" TargetMode="External"/><Relationship Id="rId178" Type="http://schemas.openxmlformats.org/officeDocument/2006/relationships/hyperlink" Target="ftp://ftp.sac.sk/pub/sac/pack/ha_nt.zip" TargetMode="External"/><Relationship Id="rId301" Type="http://schemas.openxmlformats.org/officeDocument/2006/relationships/hyperlink" Target="http://libbsc.com/" TargetMode="External"/><Relationship Id="rId322" Type="http://schemas.openxmlformats.org/officeDocument/2006/relationships/hyperlink" Target="http://encode.ru/attachment.php?attachmentid=2787&amp;d=1395490055" TargetMode="External"/><Relationship Id="rId343" Type="http://schemas.openxmlformats.org/officeDocument/2006/relationships/hyperlink" Target="https://github.com/centaurean/density" TargetMode="External"/><Relationship Id="rId364" Type="http://schemas.openxmlformats.org/officeDocument/2006/relationships/hyperlink" Target="https://github.com/inikep/lz5" TargetMode="External"/><Relationship Id="rId61" Type="http://schemas.openxmlformats.org/officeDocument/2006/relationships/hyperlink" Target="http://software.schmorp.de/pkg/liblzf" TargetMode="External"/><Relationship Id="rId82" Type="http://schemas.openxmlformats.org/officeDocument/2006/relationships/hyperlink" Target="ftp://ftp.sac.sk/pub/sac/pack/fpaq0pv5.zip" TargetMode="External"/><Relationship Id="rId199" Type="http://schemas.openxmlformats.org/officeDocument/2006/relationships/hyperlink" Target="http://homepage3.nifty.com/micco/dlfile/LMEL165C.EXE" TargetMode="External"/><Relationship Id="rId203" Type="http://schemas.openxmlformats.org/officeDocument/2006/relationships/hyperlink" Target="ftp://ftp.sac.sk/pub/sac/pack/ufa004b1.zip" TargetMode="External"/><Relationship Id="rId385" Type="http://schemas.openxmlformats.org/officeDocument/2006/relationships/hyperlink" Target="http://www.winzip.com/" TargetMode="External"/><Relationship Id="rId19" Type="http://schemas.openxmlformats.org/officeDocument/2006/relationships/hyperlink" Target="http://www.bzip.org/" TargetMode="External"/><Relationship Id="rId224" Type="http://schemas.openxmlformats.org/officeDocument/2006/relationships/hyperlink" Target="http://forrox.narod.ru/files/bma_1.33beta.rar" TargetMode="External"/><Relationship Id="rId245" Type="http://schemas.openxmlformats.org/officeDocument/2006/relationships/hyperlink" Target="http://www.michael-maniscalco.com/downloads/M03.zip" TargetMode="External"/><Relationship Id="rId266" Type="http://schemas.openxmlformats.org/officeDocument/2006/relationships/hyperlink" Target="http://www.metacompressor.com/download/kwc.zip" TargetMode="External"/><Relationship Id="rId287" Type="http://schemas.openxmlformats.org/officeDocument/2006/relationships/hyperlink" Target="http://freearc.org/download/research/tornado04.zip" TargetMode="External"/><Relationship Id="rId410" Type="http://schemas.openxmlformats.org/officeDocument/2006/relationships/hyperlink" Target="http://www.overclock.net/t/1577282/fastest-open-source-decompressors-benchmark" TargetMode="External"/><Relationship Id="rId30" Type="http://schemas.openxmlformats.org/officeDocument/2006/relationships/hyperlink" Target="https://drive.google.com/file/d/0ByLIAFlgldSoamQ0SjN6ZkVvOFk/view?usp=sharing" TargetMode="External"/><Relationship Id="rId105" Type="http://schemas.openxmlformats.org/officeDocument/2006/relationships/hyperlink" Target="ftp://ftp.sac.sk/pub/sac/pack/pak251.exe" TargetMode="External"/><Relationship Id="rId126" Type="http://schemas.openxmlformats.org/officeDocument/2006/relationships/hyperlink" Target="ftp://ftp.sac.sk/pub/sac/pack/wwp305b5.zip" TargetMode="External"/><Relationship Id="rId147" Type="http://schemas.openxmlformats.org/officeDocument/2006/relationships/hyperlink" Target="http://zlib.net/pigz/" TargetMode="External"/><Relationship Id="rId168" Type="http://schemas.openxmlformats.org/officeDocument/2006/relationships/hyperlink" Target="http://heartofcomp.altervista.org/" TargetMode="External"/><Relationship Id="rId312" Type="http://schemas.openxmlformats.org/officeDocument/2006/relationships/hyperlink" Target="http://nauful.com/dump/Archiver_02.exe" TargetMode="External"/><Relationship Id="rId333" Type="http://schemas.openxmlformats.org/officeDocument/2006/relationships/hyperlink" Target="http://heartofcomp.altervista.org/lza082.zip" TargetMode="External"/><Relationship Id="rId354" Type="http://schemas.openxmlformats.org/officeDocument/2006/relationships/hyperlink" Target="http://schnaader.info/precomp.php" TargetMode="External"/><Relationship Id="rId51" Type="http://schemas.openxmlformats.org/officeDocument/2006/relationships/hyperlink" Target="http://www.compressconsult.com/szip/" TargetMode="External"/><Relationship Id="rId72" Type="http://schemas.openxmlformats.org/officeDocument/2006/relationships/hyperlink" Target="ftp://ftp.sac.sk/pub/sac/pack/mar10.zip" TargetMode="External"/><Relationship Id="rId93" Type="http://schemas.openxmlformats.org/officeDocument/2006/relationships/hyperlink" Target="http://tpi.sourceforge.jp/index.php/News" TargetMode="External"/><Relationship Id="rId189" Type="http://schemas.openxmlformats.org/officeDocument/2006/relationships/hyperlink" Target="ftp://ftp.sac.sk/pub/sac/pack/xtrem106.zip" TargetMode="External"/><Relationship Id="rId375" Type="http://schemas.openxmlformats.org/officeDocument/2006/relationships/hyperlink" Target="http://encode.ru/attachment.php?attachmentid=4645&amp;d=1473683741" TargetMode="External"/><Relationship Id="rId396" Type="http://schemas.openxmlformats.org/officeDocument/2006/relationships/hyperlink" Target="http://google.github.io/snappy/" TargetMode="External"/><Relationship Id="rId3" Type="http://schemas.openxmlformats.org/officeDocument/2006/relationships/hyperlink" Target="http://nanozip.ijat.my/nanozip-0.09a.win64.zip" TargetMode="External"/><Relationship Id="rId214" Type="http://schemas.openxmlformats.org/officeDocument/2006/relationships/hyperlink" Target="http://sites.google.com/site/toffer86/cmm4_02b_010908.7z/" TargetMode="External"/><Relationship Id="rId235" Type="http://schemas.openxmlformats.org/officeDocument/2006/relationships/hyperlink" Target="http://www.7-zip.org/sdk.html" TargetMode="External"/><Relationship Id="rId256" Type="http://schemas.openxmlformats.org/officeDocument/2006/relationships/hyperlink" Target="http://code.google.com/p/comprox/" TargetMode="External"/><Relationship Id="rId277" Type="http://schemas.openxmlformats.org/officeDocument/2006/relationships/hyperlink" Target="http://heartofcomp.altervista.org/zcm.zip" TargetMode="External"/><Relationship Id="rId298" Type="http://schemas.openxmlformats.org/officeDocument/2006/relationships/hyperlink" Target="https://bitbucket.org/attila_afra/doboz" TargetMode="External"/><Relationship Id="rId400" Type="http://schemas.openxmlformats.org/officeDocument/2006/relationships/hyperlink" Target="http://nauful.com/pages/cm4.php" TargetMode="External"/><Relationship Id="rId421" Type="http://schemas.openxmlformats.org/officeDocument/2006/relationships/drawing" Target="../drawings/drawing2.xml"/><Relationship Id="rId116" Type="http://schemas.openxmlformats.org/officeDocument/2006/relationships/hyperlink" Target="http://archive.org/download/tucows_364302_Jabosoft_Archiver/Archiver_1_0.exe" TargetMode="External"/><Relationship Id="rId137" Type="http://schemas.openxmlformats.org/officeDocument/2006/relationships/hyperlink" Target="http://www.jetico.com/encryption-bcarchive/" TargetMode="External"/><Relationship Id="rId158" Type="http://schemas.openxmlformats.org/officeDocument/2006/relationships/hyperlink" Target="http://phantasie.tonempire.net/" TargetMode="External"/><Relationship Id="rId302" Type="http://schemas.openxmlformats.org/officeDocument/2006/relationships/hyperlink" Target="http://www.winzip.com/" TargetMode="External"/><Relationship Id="rId323" Type="http://schemas.openxmlformats.org/officeDocument/2006/relationships/hyperlink" Target="http://www.winarchiver.com/" TargetMode="External"/><Relationship Id="rId344" Type="http://schemas.openxmlformats.org/officeDocument/2006/relationships/hyperlink" Target="http://encode.ru/attachment.php?attachmentid=3866&amp;d=1443959993" TargetMode="External"/><Relationship Id="rId20" Type="http://schemas.openxmlformats.org/officeDocument/2006/relationships/hyperlink" Target="http://schnaader.info/precomp.php" TargetMode="External"/><Relationship Id="rId41" Type="http://schemas.openxmlformats.org/officeDocument/2006/relationships/hyperlink" Target="ftp://ftp.stack.nl/pub/users/willem/" TargetMode="External"/><Relationship Id="rId62" Type="http://schemas.openxmlformats.org/officeDocument/2006/relationships/hyperlink" Target="ftp://ftp.sac.sk/pub/sac/pack/btspk.arj" TargetMode="External"/><Relationship Id="rId83" Type="http://schemas.openxmlformats.org/officeDocument/2006/relationships/hyperlink" Target="ftp://ftp.sac.sk/pub/sac/pack/mscomp20.zip" TargetMode="External"/><Relationship Id="rId179" Type="http://schemas.openxmlformats.org/officeDocument/2006/relationships/hyperlink" Target="http://code.google.com/p/comprox/" TargetMode="External"/><Relationship Id="rId365" Type="http://schemas.openxmlformats.org/officeDocument/2006/relationships/hyperlink" Target="https://github.com/lzfse/lzfse" TargetMode="External"/><Relationship Id="rId386" Type="http://schemas.openxmlformats.org/officeDocument/2006/relationships/hyperlink" Target="http://compressme.net/squid001.zip" TargetMode="External"/><Relationship Id="rId190" Type="http://schemas.openxmlformats.org/officeDocument/2006/relationships/hyperlink" Target="https://github.com/lzap" TargetMode="External"/><Relationship Id="rId204" Type="http://schemas.openxmlformats.org/officeDocument/2006/relationships/hyperlink" Target="ftp://ftp.sac.sk/pub/sac/pack/ppmn_km.rar" TargetMode="External"/><Relationship Id="rId225" Type="http://schemas.openxmlformats.org/officeDocument/2006/relationships/hyperlink" Target="ftp://ftp.sac.sk/pub/sac/pack/ybs003fw.zip" TargetMode="External"/><Relationship Id="rId246" Type="http://schemas.openxmlformats.org/officeDocument/2006/relationships/hyperlink" Target="http://cs.fit.edu/~mmahoney/compression/bbb.exe" TargetMode="External"/><Relationship Id="rId267" Type="http://schemas.openxmlformats.org/officeDocument/2006/relationships/hyperlink" Target="http://essensolabs.com/" TargetMode="External"/><Relationship Id="rId288" Type="http://schemas.openxmlformats.org/officeDocument/2006/relationships/hyperlink" Target="http://encode.ru/attachment.php?attachmentid=2361&amp;d=1371506860" TargetMode="External"/><Relationship Id="rId411" Type="http://schemas.openxmlformats.org/officeDocument/2006/relationships/hyperlink" Target="https://github.com/richox/zmolly" TargetMode="External"/><Relationship Id="rId106" Type="http://schemas.openxmlformats.org/officeDocument/2006/relationships/hyperlink" Target="ftp://ftp.sac.sk/pub/sac/pack/cpshrink.zip" TargetMode="External"/><Relationship Id="rId127" Type="http://schemas.openxmlformats.org/officeDocument/2006/relationships/hyperlink" Target="ftp://ftp.sac.sk/pub/sac/pack/lza101.zip" TargetMode="External"/><Relationship Id="rId313" Type="http://schemas.openxmlformats.org/officeDocument/2006/relationships/hyperlink" Target="http://packjpg.encode.ru/?page_id=229" TargetMode="External"/><Relationship Id="rId10" Type="http://schemas.openxmlformats.org/officeDocument/2006/relationships/hyperlink" Target="http://www.winzip.com/" TargetMode="External"/><Relationship Id="rId31" Type="http://schemas.openxmlformats.org/officeDocument/2006/relationships/hyperlink" Target="https://drive.google.com/file/d/0ByLIAFlgldSoS2ZNUGtHWDRrOWM/view?usp=sharing" TargetMode="External"/><Relationship Id="rId52" Type="http://schemas.openxmlformats.org/officeDocument/2006/relationships/hyperlink" Target="http://www.compressconsult.com/szip/" TargetMode="External"/><Relationship Id="rId73" Type="http://schemas.openxmlformats.org/officeDocument/2006/relationships/hyperlink" Target="ftp://ftp.sac.sk/pub/sac/pack/m99.zip" TargetMode="External"/><Relationship Id="rId94" Type="http://schemas.openxmlformats.org/officeDocument/2006/relationships/hyperlink" Target="http://ftk.ys168.com/note/fd.htm?http://ys-F.ys168.com/1.0/272044716/o535K477I5I2PfRiRJUHws/CSC32.exe" TargetMode="External"/><Relationship Id="rId148" Type="http://schemas.openxmlformats.org/officeDocument/2006/relationships/hyperlink" Target="ftp://ftp.sac.sk/pub/sac/pack/hit.arj" TargetMode="External"/><Relationship Id="rId169" Type="http://schemas.openxmlformats.org/officeDocument/2006/relationships/hyperlink" Target="http://heartofcomp.altervista.org/" TargetMode="External"/><Relationship Id="rId334" Type="http://schemas.openxmlformats.org/officeDocument/2006/relationships/hyperlink" Target="http://sourceforge.net/projects/balz/" TargetMode="External"/><Relationship Id="rId355" Type="http://schemas.openxmlformats.org/officeDocument/2006/relationships/hyperlink" Target="http://www.b1.org/" TargetMode="External"/><Relationship Id="rId376" Type="http://schemas.openxmlformats.org/officeDocument/2006/relationships/hyperlink" Target="https://sourceforge.net/projects/unzip-ada/files/" TargetMode="External"/><Relationship Id="rId397" Type="http://schemas.openxmlformats.org/officeDocument/2006/relationships/hyperlink" Target="https://github.com/ebiggers/xpack" TargetMode="External"/><Relationship Id="rId4" Type="http://schemas.openxmlformats.org/officeDocument/2006/relationships/hyperlink" Target="http://nanozip.ijat.my/nanozip-0.09a.win64.zip" TargetMode="External"/><Relationship Id="rId180" Type="http://schemas.openxmlformats.org/officeDocument/2006/relationships/hyperlink" Target="http://code.google.com/p/comprox/" TargetMode="External"/><Relationship Id="rId215" Type="http://schemas.openxmlformats.org/officeDocument/2006/relationships/hyperlink" Target="http://sites.google.com/site/toffer86/cmm1-src.7z?attredirects=0" TargetMode="External"/><Relationship Id="rId236" Type="http://schemas.openxmlformats.org/officeDocument/2006/relationships/hyperlink" Target="http://ssergeo.narod.ru/bin/bssc.exe" TargetMode="External"/><Relationship Id="rId257" Type="http://schemas.openxmlformats.org/officeDocument/2006/relationships/hyperlink" Target="http://comprox.googlecode.com/files/comprolz-0.1.0.tar.gz" TargetMode="External"/><Relationship Id="rId278" Type="http://schemas.openxmlformats.org/officeDocument/2006/relationships/hyperlink" Target="http://heartofcomp.altervista.org/" TargetMode="External"/><Relationship Id="rId401" Type="http://schemas.openxmlformats.org/officeDocument/2006/relationships/hyperlink" Target="https://github.com/facebook/zstd" TargetMode="External"/><Relationship Id="rId422" Type="http://schemas.openxmlformats.org/officeDocument/2006/relationships/vmlDrawing" Target="../drawings/vmlDrawing1.vml"/><Relationship Id="rId303" Type="http://schemas.openxmlformats.org/officeDocument/2006/relationships/hyperlink" Target="http://encode.ru/attachment.php?attachmentid=2570&amp;d=1386072524" TargetMode="External"/><Relationship Id="rId42" Type="http://schemas.openxmlformats.org/officeDocument/2006/relationships/hyperlink" Target="http://sourceforge.net/projects/ciderpress/" TargetMode="External"/><Relationship Id="rId84" Type="http://schemas.openxmlformats.org/officeDocument/2006/relationships/hyperlink" Target="http://cbloom.com/src/index_lz.html" TargetMode="External"/><Relationship Id="rId138" Type="http://schemas.openxmlformats.org/officeDocument/2006/relationships/hyperlink" Target="ftp://ftp.sac.sk/pub/sac/pack/rax_102.zip" TargetMode="External"/><Relationship Id="rId345" Type="http://schemas.openxmlformats.org/officeDocument/2006/relationships/hyperlink" Target="https://github.com/Cyan4973/zstd" TargetMode="External"/><Relationship Id="rId387" Type="http://schemas.openxmlformats.org/officeDocument/2006/relationships/hyperlink" Target="http://krinkels.org/resources/msc-media-streams-compressor.4/" TargetMode="External"/><Relationship Id="rId191" Type="http://schemas.openxmlformats.org/officeDocument/2006/relationships/hyperlink" Target="http://nuwen.net/download/bwtzip.zip" TargetMode="External"/><Relationship Id="rId205" Type="http://schemas.openxmlformats.org/officeDocument/2006/relationships/hyperlink" Target="http://mattmahoney.net/dc/paq1.exe" TargetMode="External"/><Relationship Id="rId247" Type="http://schemas.openxmlformats.org/officeDocument/2006/relationships/hyperlink" Target="ftp://ftp.sac.sk/pub/sac/pack/uharc06b.zip" TargetMode="External"/><Relationship Id="rId412" Type="http://schemas.openxmlformats.org/officeDocument/2006/relationships/hyperlink" Target="https://github.com/dolphinking/slimox" TargetMode="External"/><Relationship Id="rId107" Type="http://schemas.openxmlformats.org/officeDocument/2006/relationships/hyperlink" Target="http://www.quicklz.com/" TargetMode="External"/><Relationship Id="rId289" Type="http://schemas.openxmlformats.org/officeDocument/2006/relationships/hyperlink" Target="http://mattmahoney.net/dc/zpaq.html" TargetMode="External"/><Relationship Id="rId11" Type="http://schemas.openxmlformats.org/officeDocument/2006/relationships/hyperlink" Target="http://www.winzip.com/" TargetMode="External"/><Relationship Id="rId53" Type="http://schemas.openxmlformats.org/officeDocument/2006/relationships/hyperlink" Target="http://www.winzip.com/" TargetMode="External"/><Relationship Id="rId149" Type="http://schemas.openxmlformats.org/officeDocument/2006/relationships/hyperlink" Target="ftp://ftp.sac.sk/pub/sac/pack/limit12.zip" TargetMode="External"/><Relationship Id="rId314" Type="http://schemas.openxmlformats.org/officeDocument/2006/relationships/hyperlink" Target="http://www.catcompress.com/" TargetMode="External"/><Relationship Id="rId356" Type="http://schemas.openxmlformats.org/officeDocument/2006/relationships/hyperlink" Target="http://www.bulkzip.com/" TargetMode="External"/><Relationship Id="rId398" Type="http://schemas.openxmlformats.org/officeDocument/2006/relationships/hyperlink" Target="https://github.com/loxxous/Jampack" TargetMode="External"/><Relationship Id="rId95" Type="http://schemas.openxmlformats.org/officeDocument/2006/relationships/hyperlink" Target="http://ftk.ys168.com/note/fd.htm?http://ys-F.ys168.com/1.0/272044716/o535K477I5I2PfRiRJUHws/CSC32.exe" TargetMode="External"/><Relationship Id="rId160" Type="http://schemas.openxmlformats.org/officeDocument/2006/relationships/hyperlink" Target="ftp://ftp.sac.sk/pub/sac/pack/rdm006be.zip" TargetMode="External"/><Relationship Id="rId216" Type="http://schemas.openxmlformats.org/officeDocument/2006/relationships/hyperlink" Target="http://sites.google.com/site/ctxtree/xpv5.rar?attredirects=0" TargetMode="External"/><Relationship Id="rId423" Type="http://schemas.openxmlformats.org/officeDocument/2006/relationships/image" Target="../media/image2.png"/><Relationship Id="rId258" Type="http://schemas.openxmlformats.org/officeDocument/2006/relationships/hyperlink" Target="http://nauful.com/pages/ppm.php" TargetMode="External"/><Relationship Id="rId22" Type="http://schemas.openxmlformats.org/officeDocument/2006/relationships/hyperlink" Target="http://www.7-zip.org/" TargetMode="External"/><Relationship Id="rId64" Type="http://schemas.openxmlformats.org/officeDocument/2006/relationships/hyperlink" Target="ftp://ftp.sac.sk/pub/sac/pack/gas20.zip" TargetMode="External"/><Relationship Id="rId118" Type="http://schemas.openxmlformats.org/officeDocument/2006/relationships/hyperlink" Target="http://www.matcode.com/lzmat.htm" TargetMode="External"/><Relationship Id="rId325" Type="http://schemas.openxmlformats.org/officeDocument/2006/relationships/hyperlink" Target="https://github.com/Cyan4973/zstd" TargetMode="External"/><Relationship Id="rId367" Type="http://schemas.openxmlformats.org/officeDocument/2006/relationships/hyperlink" Target="http://www.hyec.org/~da0ka/c/compress/dmc/sdmc-0.c" TargetMode="External"/><Relationship Id="rId171" Type="http://schemas.openxmlformats.org/officeDocument/2006/relationships/hyperlink" Target="http://heartofcomp.altervista.org/HOOK/home.htm" TargetMode="External"/><Relationship Id="rId227" Type="http://schemas.openxmlformats.org/officeDocument/2006/relationships/hyperlink" Target="ftp://ftp.sac.sk/pub/sac/pack/winrk312.exe" TargetMode="External"/><Relationship Id="rId269" Type="http://schemas.openxmlformats.org/officeDocument/2006/relationships/hyperlink" Target="http://compgt.googlepages.com/lz77" TargetMode="External"/><Relationship Id="rId33" Type="http://schemas.openxmlformats.org/officeDocument/2006/relationships/hyperlink" Target="http://www.altools.com/Downloads/ALZip.aspx" TargetMode="External"/><Relationship Id="rId129" Type="http://schemas.openxmlformats.org/officeDocument/2006/relationships/hyperlink" Target="ftp://ftp.sac.sk/pub/sac/pack/ar002.zip" TargetMode="External"/><Relationship Id="rId280" Type="http://schemas.openxmlformats.org/officeDocument/2006/relationships/hyperlink" Target="https://github.com/valdmann/crook" TargetMode="External"/><Relationship Id="rId336" Type="http://schemas.openxmlformats.org/officeDocument/2006/relationships/hyperlink" Target="http://heartofcomp.altervista.org/zcm.zip" TargetMode="External"/><Relationship Id="rId75" Type="http://schemas.openxmlformats.org/officeDocument/2006/relationships/hyperlink" Target="ftp://ftp.sac.sk/pub/sac/pack/arca129.zip" TargetMode="External"/><Relationship Id="rId140" Type="http://schemas.openxmlformats.org/officeDocument/2006/relationships/hyperlink" Target="ftp://ftp.sac.sk/pub/sac/pack/bsa.zip" TargetMode="External"/><Relationship Id="rId182" Type="http://schemas.openxmlformats.org/officeDocument/2006/relationships/hyperlink" Target="http://mattmahoney.net/dc/p12.exe" TargetMode="External"/><Relationship Id="rId378" Type="http://schemas.openxmlformats.org/officeDocument/2006/relationships/hyperlink" Target="http://nishi.dreamhosters.com/u/rawfilt_v1g.rar" TargetMode="External"/><Relationship Id="rId403" Type="http://schemas.openxmlformats.org/officeDocument/2006/relationships/hyperlink" Target="https://encode.ru/attachment.php?attachmentid=4660&amp;d=1474936177" TargetMode="External"/><Relationship Id="rId6" Type="http://schemas.openxmlformats.org/officeDocument/2006/relationships/hyperlink" Target="http://nanozip.ijat.my/nanozip-0.09a.win64.zip" TargetMode="External"/><Relationship Id="rId238" Type="http://schemas.openxmlformats.org/officeDocument/2006/relationships/hyperlink" Target="ftp://ftp.sac.sk/pub/sac/pack/ppmvc10.zip" TargetMode="External"/><Relationship Id="rId291" Type="http://schemas.openxmlformats.org/officeDocument/2006/relationships/hyperlink" Target="http://encode.narod.ru/bcm014.zip" TargetMode="External"/><Relationship Id="rId305" Type="http://schemas.openxmlformats.org/officeDocument/2006/relationships/hyperlink" Target="http://heartofcomp.altervista.org/packet1.1.zip" TargetMode="External"/><Relationship Id="rId347" Type="http://schemas.openxmlformats.org/officeDocument/2006/relationships/hyperlink" Target="https://github.com/schnaader/precomp-cpp" TargetMode="External"/><Relationship Id="rId44" Type="http://schemas.openxmlformats.org/officeDocument/2006/relationships/hyperlink" Target="http://sourceforge.net/projects/ciderpress/" TargetMode="External"/><Relationship Id="rId86" Type="http://schemas.openxmlformats.org/officeDocument/2006/relationships/hyperlink" Target="ftp://ftp.sac.sk/pub/sac/pack/ddjcompr.zip" TargetMode="External"/><Relationship Id="rId151" Type="http://schemas.openxmlformats.org/officeDocument/2006/relationships/hyperlink" Target="ftp://ftp.sac.sk/pub/sac/pack/quark10b.zip" TargetMode="External"/><Relationship Id="rId389" Type="http://schemas.openxmlformats.org/officeDocument/2006/relationships/hyperlink" Target="http://fileforums.com/showthread.php?t=97530" TargetMode="External"/><Relationship Id="rId193" Type="http://schemas.openxmlformats.org/officeDocument/2006/relationships/hyperlink" Target="http://12g.com/ghosts.htm" TargetMode="External"/><Relationship Id="rId207" Type="http://schemas.openxmlformats.org/officeDocument/2006/relationships/hyperlink" Target="ftp://ftp.sac.sk/pub/sac/pack/balz115.zip" TargetMode="External"/><Relationship Id="rId249" Type="http://schemas.openxmlformats.org/officeDocument/2006/relationships/hyperlink" Target="ftp://ftp.sac.sk/pub/sac/pack/comprsia.exe" TargetMode="External"/><Relationship Id="rId414" Type="http://schemas.openxmlformats.org/officeDocument/2006/relationships/hyperlink" Target="http://www.hyec.org/~da0ka/c/compress/index.htm" TargetMode="External"/><Relationship Id="rId13" Type="http://schemas.openxmlformats.org/officeDocument/2006/relationships/hyperlink" Target="http://nishi.dreamhosters.com/u/reflate_v0c1.rar" TargetMode="External"/><Relationship Id="rId109" Type="http://schemas.openxmlformats.org/officeDocument/2006/relationships/hyperlink" Target="ftp://ftp.sac.sk/pub/sac/pack/esp_v192.exe" TargetMode="External"/><Relationship Id="rId260" Type="http://schemas.openxmlformats.org/officeDocument/2006/relationships/hyperlink" Target="http://www.michael-maniscalco.com/index.htm" TargetMode="External"/><Relationship Id="rId316" Type="http://schemas.openxmlformats.org/officeDocument/2006/relationships/hyperlink" Target="http://heartofcomp.altervista.org/zcm092.zip" TargetMode="External"/><Relationship Id="rId55" Type="http://schemas.openxmlformats.org/officeDocument/2006/relationships/hyperlink" Target="http://www.7-zip.org/" TargetMode="External"/><Relationship Id="rId97" Type="http://schemas.openxmlformats.org/officeDocument/2006/relationships/hyperlink" Target="ftp://ftp.sac.sk/pub/sac/pack/ttcomp.zip" TargetMode="External"/><Relationship Id="rId120" Type="http://schemas.openxmlformats.org/officeDocument/2006/relationships/hyperlink" Target="ftp://ftp.sac.sk/pub/sac/pack/abcmp206.zip" TargetMode="External"/><Relationship Id="rId358" Type="http://schemas.openxmlformats.org/officeDocument/2006/relationships/hyperlink" Target="https://github.com/StephanBusch/EcoZip" TargetMode="External"/><Relationship Id="rId162" Type="http://schemas.openxmlformats.org/officeDocument/2006/relationships/hyperlink" Target="ftp://members.aol.com/arjsoftdir/files/jar102x.exe" TargetMode="External"/><Relationship Id="rId218" Type="http://schemas.openxmlformats.org/officeDocument/2006/relationships/hyperlink" Target="ftp://ftp.sac.sk/pub/sac/pack/grzipiiw.zip" TargetMode="External"/><Relationship Id="rId271" Type="http://schemas.openxmlformats.org/officeDocument/2006/relationships/hyperlink" Target="http://mattmahoney.net/dc/bpe2v3.cpp" TargetMode="External"/><Relationship Id="rId24" Type="http://schemas.openxmlformats.org/officeDocument/2006/relationships/hyperlink" Target="http://fastcompression.blogspot.de/p/lz4.html" TargetMode="External"/><Relationship Id="rId66" Type="http://schemas.openxmlformats.org/officeDocument/2006/relationships/hyperlink" Target="ftp://ftp.sac.sk/pub/sac/pack/reduq.zip" TargetMode="External"/><Relationship Id="rId131" Type="http://schemas.openxmlformats.org/officeDocument/2006/relationships/hyperlink" Target="ftp://ftp.sac.sk/pub/sac/pack/sar1.zip" TargetMode="External"/><Relationship Id="rId327" Type="http://schemas.openxmlformats.org/officeDocument/2006/relationships/hyperlink" Target="http://encode.ru/attachment.php?attachmentid=3392&amp;d=1423548712" TargetMode="External"/><Relationship Id="rId369" Type="http://schemas.openxmlformats.org/officeDocument/2006/relationships/hyperlink" Target="http://www.hyec.org/~da0ka/c/compress/bmzfp/bmzfp-v1.1.7z" TargetMode="External"/><Relationship Id="rId173" Type="http://schemas.openxmlformats.org/officeDocument/2006/relationships/hyperlink" Target="http://heartofcomp.altervista.org/" TargetMode="External"/><Relationship Id="rId229" Type="http://schemas.openxmlformats.org/officeDocument/2006/relationships/hyperlink" Target="ftp://ftp.sac.sk/pub/sac/pack/abc_24.zip" TargetMode="External"/><Relationship Id="rId380" Type="http://schemas.openxmlformats.org/officeDocument/2006/relationships/hyperlink" Target="http://www.hyec.org/~da0ka/c/compress/crush/crush-1.1.7z" TargetMode="External"/><Relationship Id="rId240" Type="http://schemas.openxmlformats.org/officeDocument/2006/relationships/hyperlink" Target="ftp://ftp.sac.sk/pub/sac/pack/lzpxj12h.zip" TargetMode="External"/><Relationship Id="rId35" Type="http://schemas.openxmlformats.org/officeDocument/2006/relationships/hyperlink" Target="http://www.compression.ru/ds/" TargetMode="External"/><Relationship Id="rId77" Type="http://schemas.openxmlformats.org/officeDocument/2006/relationships/hyperlink" Target="ftp://ftp.sac.sk/pub/sac/pack/jrc110.zip" TargetMode="External"/><Relationship Id="rId100" Type="http://schemas.openxmlformats.org/officeDocument/2006/relationships/hyperlink" Target="ftp://ftp.sac.sk/pub/sac/pack/dwc-a510.exe" TargetMode="External"/><Relationship Id="rId282" Type="http://schemas.openxmlformats.org/officeDocument/2006/relationships/hyperlink" Target="https://drive.google.com/file/d/0ByLIAFlgldSoVk1pcEw2dzU5SWs/view?usp=sharing" TargetMode="External"/><Relationship Id="rId338" Type="http://schemas.openxmlformats.org/officeDocument/2006/relationships/hyperlink" Target="http://heartofcomp.altervista.org/index.htm" TargetMode="External"/><Relationship Id="rId8" Type="http://schemas.openxmlformats.org/officeDocument/2006/relationships/hyperlink" Target="http://www.winzip.com/" TargetMode="External"/><Relationship Id="rId142" Type="http://schemas.openxmlformats.org/officeDocument/2006/relationships/hyperlink" Target="ftp://ftp.sac.sk/pub/sac/pack/vuzip18.exe" TargetMode="External"/><Relationship Id="rId184" Type="http://schemas.openxmlformats.org/officeDocument/2006/relationships/hyperlink" Target="ftp://ftp.sac.sk/pub/sac/pack/rar250d.exe" TargetMode="External"/><Relationship Id="rId391" Type="http://schemas.openxmlformats.org/officeDocument/2006/relationships/hyperlink" Target="http://www.powerarchiver.com/" TargetMode="External"/><Relationship Id="rId405" Type="http://schemas.openxmlformats.org/officeDocument/2006/relationships/hyperlink" Target="https://github.com/algorithm314/FPC" TargetMode="External"/><Relationship Id="rId251" Type="http://schemas.openxmlformats.org/officeDocument/2006/relationships/hyperlink" Target="http://www.cs.fit.edu/~mmahoney/compression/paq9a.zip" TargetMode="External"/><Relationship Id="rId46" Type="http://schemas.openxmlformats.org/officeDocument/2006/relationships/hyperlink" Target="http://ftp.sac.sk/sac/pack/" TargetMode="External"/><Relationship Id="rId293" Type="http://schemas.openxmlformats.org/officeDocument/2006/relationships/hyperlink" Target="http://encode.ru/attachment.php?attachmentid=2370&amp;d=1373103974" TargetMode="External"/><Relationship Id="rId307" Type="http://schemas.openxmlformats.org/officeDocument/2006/relationships/hyperlink" Target="https://www.dropbox.com/s/uq0nwgvr12ylut4/packARC%20v0.7RC11%20%28beta!%29%20%28GPL%29.zip" TargetMode="External"/><Relationship Id="rId349" Type="http://schemas.openxmlformats.org/officeDocument/2006/relationships/hyperlink" Target="https://github.com/Cyan4973/zstd" TargetMode="External"/><Relationship Id="rId88" Type="http://schemas.openxmlformats.org/officeDocument/2006/relationships/hyperlink" Target="http://code.google.com/p/fastlz/downloads/list" TargetMode="External"/><Relationship Id="rId111" Type="http://schemas.openxmlformats.org/officeDocument/2006/relationships/hyperlink" Target="http://cbloom.com/src/index_lz.html" TargetMode="External"/><Relationship Id="rId153" Type="http://schemas.openxmlformats.org/officeDocument/2006/relationships/hyperlink" Target="http://homepage3.nifty.com/micco/dlfile/LMEL165C.EXE" TargetMode="External"/><Relationship Id="rId195" Type="http://schemas.openxmlformats.org/officeDocument/2006/relationships/hyperlink" Target="http://compression.ca/pbzip2/" TargetMode="External"/><Relationship Id="rId209" Type="http://schemas.openxmlformats.org/officeDocument/2006/relationships/hyperlink" Target="ftp://ftp.sac.sk/pub/sac/pack/bioarc19.zip" TargetMode="External"/><Relationship Id="rId360" Type="http://schemas.openxmlformats.org/officeDocument/2006/relationships/hyperlink" Target="https://github.com/akamiru/bce" TargetMode="External"/><Relationship Id="rId416" Type="http://schemas.openxmlformats.org/officeDocument/2006/relationships/hyperlink" Target="http://www.cbloom.com/src/lzcb20.zip" TargetMode="External"/><Relationship Id="rId220" Type="http://schemas.openxmlformats.org/officeDocument/2006/relationships/hyperlink" Target="http://rzip.samba.org/ftp/rzip/rzip-2.1.tar.gz" TargetMode="External"/><Relationship Id="rId15" Type="http://schemas.openxmlformats.org/officeDocument/2006/relationships/hyperlink" Target="http://www.winzip.com/" TargetMode="External"/><Relationship Id="rId57" Type="http://schemas.openxmlformats.org/officeDocument/2006/relationships/hyperlink" Target="http://www.rarlabs.com/" TargetMode="External"/><Relationship Id="rId262" Type="http://schemas.openxmlformats.org/officeDocument/2006/relationships/hyperlink" Target="http://www.michael-maniscalco.com/index.htm" TargetMode="External"/><Relationship Id="rId318" Type="http://schemas.openxmlformats.org/officeDocument/2006/relationships/hyperlink" Target="https://github.com/moinakg/pcompress" TargetMode="External"/><Relationship Id="rId99" Type="http://schemas.openxmlformats.org/officeDocument/2006/relationships/hyperlink" Target="ftp://ftp.sac.sk/pub/sac/pack/nsk50.zip" TargetMode="External"/><Relationship Id="rId122" Type="http://schemas.openxmlformats.org/officeDocument/2006/relationships/hyperlink" Target="ftp://ftp.sac.sk/pub/sac/pack/noah110.zip" TargetMode="External"/><Relationship Id="rId164" Type="http://schemas.openxmlformats.org/officeDocument/2006/relationships/hyperlink" Target="http://freearc.org/download/research/tornado01.zip" TargetMode="External"/><Relationship Id="rId371" Type="http://schemas.openxmlformats.org/officeDocument/2006/relationships/hyperlink" Target="http://www.hyec.org/~da0ka/c/compress/alba/alba-0.8.7z" TargetMode="External"/><Relationship Id="rId26" Type="http://schemas.openxmlformats.org/officeDocument/2006/relationships/hyperlink" Target="https://drive.google.com/file/d/0ByLIAFlgldSoc0c1NFF6VlRhbEE/view?usp=sharing" TargetMode="External"/><Relationship Id="rId231" Type="http://schemas.openxmlformats.org/officeDocument/2006/relationships/hyperlink" Target="ftp://ftp.sac.sk/pub/sac/pack/m99.zip" TargetMode="External"/><Relationship Id="rId273" Type="http://schemas.openxmlformats.org/officeDocument/2006/relationships/hyperlink" Target="http://www.powerarchiver.com/" TargetMode="External"/><Relationship Id="rId329" Type="http://schemas.openxmlformats.org/officeDocument/2006/relationships/hyperlink" Target="https://github.com/conor42/Radyx/releases" TargetMode="External"/><Relationship Id="rId68" Type="http://schemas.openxmlformats.org/officeDocument/2006/relationships/hyperlink" Target="ftp://ftp.sac.sk/pub/sac/pack/arg.zip" TargetMode="External"/><Relationship Id="rId133" Type="http://schemas.openxmlformats.org/officeDocument/2006/relationships/hyperlink" Target="http://www3.big.or.jp/~schaft/download/" TargetMode="External"/><Relationship Id="rId175" Type="http://schemas.openxmlformats.org/officeDocument/2006/relationships/hyperlink" Target="ftp://ftp.sac.sk/pub/sac/pack/lgha11g.zip" TargetMode="External"/><Relationship Id="rId340" Type="http://schemas.openxmlformats.org/officeDocument/2006/relationships/hyperlink" Target="http://heartofcomp.altervista.org/index.htm" TargetMode="External"/><Relationship Id="rId200" Type="http://schemas.openxmlformats.org/officeDocument/2006/relationships/hyperlink" Target="ftp://ftp.sac.sk/pub/sac/pack/imp112.exe" TargetMode="External"/><Relationship Id="rId382" Type="http://schemas.openxmlformats.org/officeDocument/2006/relationships/hyperlink" Target="http://www.hyec.org/~da0ka/c/compress/crush/crush-1.7.7z" TargetMode="External"/><Relationship Id="rId242" Type="http://schemas.openxmlformats.org/officeDocument/2006/relationships/hyperlink" Target="http://ctxmodel.net/files/PPMd/ppmd_Jr1_sh8.rar" TargetMode="External"/><Relationship Id="rId284" Type="http://schemas.openxmlformats.org/officeDocument/2006/relationships/hyperlink" Target="http://code.google.com/p/zopfli/" TargetMode="External"/><Relationship Id="rId37" Type="http://schemas.openxmlformats.org/officeDocument/2006/relationships/hyperlink" Target="http://www.compression.ru/ds/" TargetMode="External"/><Relationship Id="rId79" Type="http://schemas.openxmlformats.org/officeDocument/2006/relationships/hyperlink" Target="ftp://ftp.sac.sk/pub/sac/pack/mdcd10.zip" TargetMode="External"/><Relationship Id="rId102" Type="http://schemas.openxmlformats.org/officeDocument/2006/relationships/hyperlink" Target="ftp://ftp.sac.sk/pub/sac/pack/pkze110s.exe" TargetMode="External"/><Relationship Id="rId144" Type="http://schemas.openxmlformats.org/officeDocument/2006/relationships/hyperlink" Target="ftp://ftp.sac.sk/pub/sac/pack/dzip29.exe" TargetMode="External"/><Relationship Id="rId90" Type="http://schemas.openxmlformats.org/officeDocument/2006/relationships/hyperlink" Target="http://bcrunch.online.fr/" TargetMode="External"/><Relationship Id="rId186" Type="http://schemas.openxmlformats.org/officeDocument/2006/relationships/hyperlink" Target="ftp://ftp.sac.sk/pub/sac/pack/asd020.exe" TargetMode="External"/><Relationship Id="rId351" Type="http://schemas.openxmlformats.org/officeDocument/2006/relationships/hyperlink" Target="https://sourceforge.net/projects/unzip-ada/files/" TargetMode="External"/><Relationship Id="rId393" Type="http://schemas.openxmlformats.org/officeDocument/2006/relationships/hyperlink" Target="https://github.com/lzfse/lzfse" TargetMode="External"/><Relationship Id="rId407" Type="http://schemas.openxmlformats.org/officeDocument/2006/relationships/hyperlink" Target="http://www.powerarchiver.com/" TargetMode="External"/><Relationship Id="rId211" Type="http://schemas.openxmlformats.org/officeDocument/2006/relationships/hyperlink" Target="http://encode.ru/attachment.php?attachmentid=1861&amp;d=1330534889" TargetMode="External"/><Relationship Id="rId253" Type="http://schemas.openxmlformats.org/officeDocument/2006/relationships/hyperlink" Target="http://heartofcomp.altervista.org/" TargetMode="External"/><Relationship Id="rId295" Type="http://schemas.openxmlformats.org/officeDocument/2006/relationships/hyperlink" Target="http://encode.ru/attachment.php?attachmentid=2671&amp;d=1389881630" TargetMode="External"/><Relationship Id="rId309" Type="http://schemas.openxmlformats.org/officeDocument/2006/relationships/hyperlink" Target="http://encode.ru/attachment.php?attachmentid=2649&amp;d=1387326373" TargetMode="External"/><Relationship Id="rId48" Type="http://schemas.openxmlformats.org/officeDocument/2006/relationships/hyperlink" Target="ftp://ftp.sac.sk/pub/sac/pack/uharc06b.zip" TargetMode="External"/><Relationship Id="rId113" Type="http://schemas.openxmlformats.org/officeDocument/2006/relationships/hyperlink" Target="ftp://ftp.sac.sk/pub/sac/pack/deepf106.exe" TargetMode="External"/><Relationship Id="rId320" Type="http://schemas.openxmlformats.org/officeDocument/2006/relationships/hyperlink" Target="http://heartofcomp.altervista.org/lza050b.zip" TargetMode="External"/><Relationship Id="rId155" Type="http://schemas.openxmlformats.org/officeDocument/2006/relationships/hyperlink" Target="ftp://ftp.sac.sk/pub/sac/pack/yac102.zip" TargetMode="External"/><Relationship Id="rId197" Type="http://schemas.openxmlformats.org/officeDocument/2006/relationships/hyperlink" Target="ftp://ftp.sac.sk/pub/sac/pack/bix100b7.zip" TargetMode="External"/><Relationship Id="rId362" Type="http://schemas.openxmlformats.org/officeDocument/2006/relationships/hyperlink" Target="http://www.nongnu.org/lzip/plzip.html" TargetMode="External"/><Relationship Id="rId418" Type="http://schemas.openxmlformats.org/officeDocument/2006/relationships/hyperlink" Target="http://compressionratings.com/files/bred3.zip" TargetMode="External"/><Relationship Id="rId222" Type="http://schemas.openxmlformats.org/officeDocument/2006/relationships/hyperlink" Target="http://www.altools.com/ALTools/ALZip.aspx" TargetMode="External"/><Relationship Id="rId264" Type="http://schemas.openxmlformats.org/officeDocument/2006/relationships/hyperlink" Target="http://bijective.dogma.net/arbcx.zip" TargetMode="External"/></Relationships>
</file>

<file path=xl/worksheets/_rels/sheet5.xml.rels><?xml version="1.0" encoding="UTF-8" standalone="yes"?>
<Relationships xmlns="http://schemas.openxmlformats.org/package/2006/relationships"><Relationship Id="rId26" Type="http://schemas.openxmlformats.org/officeDocument/2006/relationships/hyperlink" Target="http://mattmahoney.net/dc/lcssr02.zip" TargetMode="External"/><Relationship Id="rId21" Type="http://schemas.openxmlformats.org/officeDocument/2006/relationships/hyperlink" Target="http://mattmahoney.net/dc/paq8i.zip" TargetMode="External"/><Relationship Id="rId42" Type="http://schemas.openxmlformats.org/officeDocument/2006/relationships/hyperlink" Target="http://encode.ru/attachment.php?attachmentid=3211&amp;d=1414109843" TargetMode="External"/><Relationship Id="rId47" Type="http://schemas.openxmlformats.org/officeDocument/2006/relationships/hyperlink" Target="http://encode.ru/attachment.php?attachmentid=1845&amp;d=1328961660" TargetMode="External"/><Relationship Id="rId63" Type="http://schemas.openxmlformats.org/officeDocument/2006/relationships/hyperlink" Target="https://drive.google.com/file/d/0ByLIAFlgldSoOEF0UHQtQk4zelk/view?usp=sharing" TargetMode="External"/><Relationship Id="rId68" Type="http://schemas.openxmlformats.org/officeDocument/2006/relationships/hyperlink" Target="https://encode.ru/attachment.php?attachmentid=5009&amp;d=1500318539" TargetMode="External"/><Relationship Id="rId84" Type="http://schemas.openxmlformats.org/officeDocument/2006/relationships/image" Target="../media/image2.png"/><Relationship Id="rId16" Type="http://schemas.openxmlformats.org/officeDocument/2006/relationships/hyperlink" Target="http://mattmahoney.net/dc/paq8jd.zip" TargetMode="External"/><Relationship Id="rId11" Type="http://schemas.openxmlformats.org/officeDocument/2006/relationships/hyperlink" Target="ftp://ftp.sac.sk/pub/sac/pack/slim0021.zip" TargetMode="External"/><Relationship Id="rId32" Type="http://schemas.openxmlformats.org/officeDocument/2006/relationships/hyperlink" Target="ftp://ftp.sac.sk/pub/sac/pack/enc015.zip" TargetMode="External"/><Relationship Id="rId37" Type="http://schemas.openxmlformats.org/officeDocument/2006/relationships/hyperlink" Target="ftp://ftp.sac.sk/pub/sac/pack/top4.zip" TargetMode="External"/><Relationship Id="rId53" Type="http://schemas.openxmlformats.org/officeDocument/2006/relationships/hyperlink" Target="http://encode.ru/attachment.php?attachmentid=4220&amp;d=1459072375" TargetMode="External"/><Relationship Id="rId58" Type="http://schemas.openxmlformats.org/officeDocument/2006/relationships/hyperlink" Target="https://drive.google.com/file/d/0ByLIAFlgldSoWHBUUUotVWZYWGM/view?usp=sharing" TargetMode="External"/><Relationship Id="rId74" Type="http://schemas.openxmlformats.org/officeDocument/2006/relationships/hyperlink" Target="http://encode.ru/attachment.php?attachmentid=2569&amp;d=1386072406" TargetMode="External"/><Relationship Id="rId79" Type="http://schemas.openxmlformats.org/officeDocument/2006/relationships/hyperlink" Target="https://encode.ru/attachment.php?attachmentid=5408&amp;d=1507988123" TargetMode="External"/><Relationship Id="rId5" Type="http://schemas.openxmlformats.org/officeDocument/2006/relationships/hyperlink" Target="http://schnaader.info/paq8o8pre.zip" TargetMode="External"/><Relationship Id="rId19" Type="http://schemas.openxmlformats.org/officeDocument/2006/relationships/hyperlink" Target="http://www.ii.uni.wroc.pl/~inikep/research/pasqda44.zip" TargetMode="External"/><Relationship Id="rId14" Type="http://schemas.openxmlformats.org/officeDocument/2006/relationships/hyperlink" Target="http://mattmahoney.net/dc/paq7.exe" TargetMode="External"/><Relationship Id="rId22" Type="http://schemas.openxmlformats.org/officeDocument/2006/relationships/hyperlink" Target="http://encode.ru/attachment.php?attachmentid=1735&amp;d=1322242897" TargetMode="External"/><Relationship Id="rId27" Type="http://schemas.openxmlformats.org/officeDocument/2006/relationships/hyperlink" Target="http://www.ctxmodel.net/files/ASH/ash07.rar" TargetMode="External"/><Relationship Id="rId30" Type="http://schemas.openxmlformats.org/officeDocument/2006/relationships/hyperlink" Target="ftp://ftp.sac.sk/pub/sac/pack/rk104a1w.exe" TargetMode="External"/><Relationship Id="rId35" Type="http://schemas.openxmlformats.org/officeDocument/2006/relationships/hyperlink" Target="ftp://ftp.sac.sk/pub/sac/pack/boa058.zip" TargetMode="External"/><Relationship Id="rId43" Type="http://schemas.openxmlformats.org/officeDocument/2006/relationships/hyperlink" Target="http://encode.ru/attachment.php?attachmentid=3152&amp;d=1410970293" TargetMode="External"/><Relationship Id="rId48" Type="http://schemas.openxmlformats.org/officeDocument/2006/relationships/hyperlink" Target="http://encode.ru/attachment.php?attachmentid=1930&amp;d=1334855042" TargetMode="External"/><Relationship Id="rId56" Type="http://schemas.openxmlformats.org/officeDocument/2006/relationships/hyperlink" Target="https://drive.google.com/open?id=0ByLIAFlgldSoNmpfYU43WjlyZFE" TargetMode="External"/><Relationship Id="rId64" Type="http://schemas.openxmlformats.org/officeDocument/2006/relationships/hyperlink" Target="https://drive.google.com/file/d/0ByLIAFlgldSoVk1pcEw2dzU5SWs/view?usp=sharing" TargetMode="External"/><Relationship Id="rId69" Type="http://schemas.openxmlformats.org/officeDocument/2006/relationships/hyperlink" Target="https://encode.ru/attachment.php?attachmentid=5064&amp;d=1501252381" TargetMode="External"/><Relationship Id="rId77" Type="http://schemas.openxmlformats.org/officeDocument/2006/relationships/hyperlink" Target="https://github.com/hxim/paq8px" TargetMode="External"/><Relationship Id="rId8" Type="http://schemas.openxmlformats.org/officeDocument/2006/relationships/hyperlink" Target="http://tpi.sourceforge.jp/index.php/News" TargetMode="External"/><Relationship Id="rId51" Type="http://schemas.openxmlformats.org/officeDocument/2006/relationships/hyperlink" Target="http://encode.ru/threads/613-FP8-(-Fast-PAQ8)" TargetMode="External"/><Relationship Id="rId72" Type="http://schemas.openxmlformats.org/officeDocument/2006/relationships/hyperlink" Target="https://github.com/hxim/paq8px" TargetMode="External"/><Relationship Id="rId80" Type="http://schemas.openxmlformats.org/officeDocument/2006/relationships/hyperlink" Target="https://github.com/hxim/paq8px" TargetMode="External"/><Relationship Id="rId85" Type="http://schemas.openxmlformats.org/officeDocument/2006/relationships/comments" Target="../comments2.xml"/><Relationship Id="rId3" Type="http://schemas.openxmlformats.org/officeDocument/2006/relationships/hyperlink" Target="http://ftp.sac.sk/sac/pack/" TargetMode="External"/><Relationship Id="rId12" Type="http://schemas.openxmlformats.org/officeDocument/2006/relationships/hyperlink" Target="ftp://ftp.sac.sk/pub/sac/pack/slim023d.zip" TargetMode="External"/><Relationship Id="rId17" Type="http://schemas.openxmlformats.org/officeDocument/2006/relationships/hyperlink" Target="http://mattmahoney.net/dc/paq8l.zip" TargetMode="External"/><Relationship Id="rId25" Type="http://schemas.openxmlformats.org/officeDocument/2006/relationships/hyperlink" Target="http://www.geocities.ws/ocamyd/" TargetMode="External"/><Relationship Id="rId33" Type="http://schemas.openxmlformats.org/officeDocument/2006/relationships/hyperlink" Target="ftp://ftp.sac.sk/pub/sac/pack/777004b1.zip" TargetMode="External"/><Relationship Id="rId38" Type="http://schemas.openxmlformats.org/officeDocument/2006/relationships/hyperlink" Target="ftp://ftp.sac.sk/pub/sac/pack/acb_200c.zip" TargetMode="External"/><Relationship Id="rId46" Type="http://schemas.openxmlformats.org/officeDocument/2006/relationships/hyperlink" Target="http://encode.ru/attachment.php?attachmentid=1855&amp;d=1330038239" TargetMode="External"/><Relationship Id="rId59" Type="http://schemas.openxmlformats.org/officeDocument/2006/relationships/hyperlink" Target="https://drive.google.com/file/d/0ByLIAFlgldSoQmFFdlFTTTJCZFk/view?usp=sharing" TargetMode="External"/><Relationship Id="rId67" Type="http://schemas.openxmlformats.org/officeDocument/2006/relationships/hyperlink" Target="https://encode.ru/attachment.php?attachmentid=4967&amp;d=1499708622" TargetMode="External"/><Relationship Id="rId20" Type="http://schemas.openxmlformats.org/officeDocument/2006/relationships/hyperlink" Target="http://www.ii.uni.wroc.pl/~inikep/research/paq8d.zip" TargetMode="External"/><Relationship Id="rId41" Type="http://schemas.openxmlformats.org/officeDocument/2006/relationships/hyperlink" Target="mailto:info@squeezechart.com" TargetMode="External"/><Relationship Id="rId54" Type="http://schemas.openxmlformats.org/officeDocument/2006/relationships/hyperlink" Target="https://github.com/google/brotli/" TargetMode="External"/><Relationship Id="rId62" Type="http://schemas.openxmlformats.org/officeDocument/2006/relationships/hyperlink" Target="https://drive.google.com/file/d/0ByLIAFlgldSoS2ZNUGtHWDRrOWM/view?usp=sharing" TargetMode="External"/><Relationship Id="rId70" Type="http://schemas.openxmlformats.org/officeDocument/2006/relationships/hyperlink" Target="https://goo.gl/EDd1sS" TargetMode="External"/><Relationship Id="rId75" Type="http://schemas.openxmlformats.org/officeDocument/2006/relationships/hyperlink" Target="ftp://ftp.sac.sk/pub/sac/pack/epm_9.zip" TargetMode="External"/><Relationship Id="rId83" Type="http://schemas.openxmlformats.org/officeDocument/2006/relationships/vmlDrawing" Target="../drawings/vmlDrawing2.vml"/><Relationship Id="rId1" Type="http://schemas.openxmlformats.org/officeDocument/2006/relationships/hyperlink" Target="http://www.compression.ru/ds/" TargetMode="External"/><Relationship Id="rId6" Type="http://schemas.openxmlformats.org/officeDocument/2006/relationships/hyperlink" Target="http://encode.ru/threads/613-FP8-(-Fast-PAQ8)" TargetMode="External"/><Relationship Id="rId15" Type="http://schemas.openxmlformats.org/officeDocument/2006/relationships/hyperlink" Target="ftp://ftp.sac.sk/pub/sac/pack/uda0301s.zip" TargetMode="External"/><Relationship Id="rId23" Type="http://schemas.openxmlformats.org/officeDocument/2006/relationships/hyperlink" Target="http://sourceforge.net/projects/staticcomp/files/" TargetMode="External"/><Relationship Id="rId28" Type="http://schemas.openxmlformats.org/officeDocument/2006/relationships/hyperlink" Target="http://mattmahoney.net/dc/text.html" TargetMode="External"/><Relationship Id="rId36" Type="http://schemas.openxmlformats.org/officeDocument/2006/relationships/hyperlink" Target="ftp://ftp.sac.sk/pub/sac/pack/scrnch.zip" TargetMode="External"/><Relationship Id="rId49" Type="http://schemas.openxmlformats.org/officeDocument/2006/relationships/hyperlink" Target="https://github.com/google/brotli/" TargetMode="External"/><Relationship Id="rId57" Type="http://schemas.openxmlformats.org/officeDocument/2006/relationships/hyperlink" Target="https://drive.google.com/file/d/0ByLIAFlgldSoc0c1NFF6VlRhbEE/view?usp=sharing" TargetMode="External"/><Relationship Id="rId10" Type="http://schemas.openxmlformats.org/officeDocument/2006/relationships/hyperlink" Target="ftp://ftp.sac.sk/pub/sac/pack/ocamyd.zip" TargetMode="External"/><Relationship Id="rId31" Type="http://schemas.openxmlformats.org/officeDocument/2006/relationships/hyperlink" Target="http://encode.narod.ru/pimple143.zip" TargetMode="External"/><Relationship Id="rId44" Type="http://schemas.openxmlformats.org/officeDocument/2006/relationships/hyperlink" Target="http://encode.ru/attachment.php?attachmentid=3152&amp;d=1410970293" TargetMode="External"/><Relationship Id="rId52" Type="http://schemas.openxmlformats.org/officeDocument/2006/relationships/hyperlink" Target="http://encode.ru/attachment.php?attachmentid=4196&amp;d=1458416703" TargetMode="External"/><Relationship Id="rId60" Type="http://schemas.openxmlformats.org/officeDocument/2006/relationships/hyperlink" Target="https://drive.google.com/file/d/0ByLIAFlgldSoMDk3OW1BX1pUZnM/view?usp=sharing" TargetMode="External"/><Relationship Id="rId65" Type="http://schemas.openxmlformats.org/officeDocument/2006/relationships/hyperlink" Target="https://github.com/hxim/paq8px" TargetMode="External"/><Relationship Id="rId73" Type="http://schemas.openxmlformats.org/officeDocument/2006/relationships/hyperlink" Target="http://nauful.com/pages/cm4.php" TargetMode="External"/><Relationship Id="rId78" Type="http://schemas.openxmlformats.org/officeDocument/2006/relationships/hyperlink" Target="https://goo.gl/EDd1sS" TargetMode="External"/><Relationship Id="rId81" Type="http://schemas.openxmlformats.org/officeDocument/2006/relationships/printerSettings" Target="../printerSettings/printerSettings5.bin"/><Relationship Id="rId4" Type="http://schemas.openxmlformats.org/officeDocument/2006/relationships/hyperlink" Target="ftp://ftp.sac.sk/pub/sac/pack" TargetMode="External"/><Relationship Id="rId9" Type="http://schemas.openxmlformats.org/officeDocument/2006/relationships/hyperlink" Target="http://jveness.info/software/cts-v1.zip" TargetMode="External"/><Relationship Id="rId13" Type="http://schemas.openxmlformats.org/officeDocument/2006/relationships/hyperlink" Target="http://mattmahoney.net/dc/paq4-emilcont-duritium.exe" TargetMode="External"/><Relationship Id="rId18" Type="http://schemas.openxmlformats.org/officeDocument/2006/relationships/hyperlink" Target="http://mattmahoney.net/dc/paqar4.rar" TargetMode="External"/><Relationship Id="rId39" Type="http://schemas.openxmlformats.org/officeDocument/2006/relationships/hyperlink" Target="http://encode.ru/attachment.php?attachmentid=2355&amp;d=1371488428" TargetMode="External"/><Relationship Id="rId34" Type="http://schemas.openxmlformats.org/officeDocument/2006/relationships/hyperlink" Target="ftp://ftp.sac.sk/pub/sac/pack/ctw01w32.zip" TargetMode="External"/><Relationship Id="rId50" Type="http://schemas.openxmlformats.org/officeDocument/2006/relationships/hyperlink" Target="http://encode.ru/attachment.php?attachmentid=3859&amp;d=1443701652" TargetMode="External"/><Relationship Id="rId55" Type="http://schemas.openxmlformats.org/officeDocument/2006/relationships/hyperlink" Target="https://sourceforge.net/projects/unzip-ada/files/" TargetMode="External"/><Relationship Id="rId76" Type="http://schemas.openxmlformats.org/officeDocument/2006/relationships/hyperlink" Target="http://www.cbloom.com/src/lzcb26.zip" TargetMode="External"/><Relationship Id="rId7" Type="http://schemas.openxmlformats.org/officeDocument/2006/relationships/hyperlink" Target="http://encode.ru/attachment.php?attachmentid=1946&amp;d=1336895016" TargetMode="External"/><Relationship Id="rId71" Type="http://schemas.openxmlformats.org/officeDocument/2006/relationships/hyperlink" Target="https://encode.ru/attachment.php?attachmentid=5067&amp;d=1501428529" TargetMode="External"/><Relationship Id="rId2" Type="http://schemas.openxmlformats.org/officeDocument/2006/relationships/hyperlink" Target="http://encode.ru/threads/613-FP8-(-Fast-PAQ8)" TargetMode="External"/><Relationship Id="rId29" Type="http://schemas.openxmlformats.org/officeDocument/2006/relationships/hyperlink" Target="ftp://ftp.sac.sk/pub/sac/pack/quant097.zip" TargetMode="External"/><Relationship Id="rId24" Type="http://schemas.openxmlformats.org/officeDocument/2006/relationships/hyperlink" Target="http://code.google.com/p/barred/" TargetMode="External"/><Relationship Id="rId40" Type="http://schemas.openxmlformats.org/officeDocument/2006/relationships/hyperlink" Target="mailto:squeezechart@gmx.de" TargetMode="External"/><Relationship Id="rId45" Type="http://schemas.openxmlformats.org/officeDocument/2006/relationships/hyperlink" Target="http://encode.ru/attachment.php?attachmentid=3109&amp;d=1409091270" TargetMode="External"/><Relationship Id="rId66" Type="http://schemas.openxmlformats.org/officeDocument/2006/relationships/hyperlink" Target="http://darchiver.narod.ru/dark/dark-0.51-win.zip" TargetMode="External"/><Relationship Id="rId61" Type="http://schemas.openxmlformats.org/officeDocument/2006/relationships/hyperlink" Target="https://drive.google.com/file/d/0ByLIAFlgldSoamQ0SjN6ZkVvOFk/view?usp=sharing" TargetMode="External"/><Relationship Id="rId82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117" Type="http://schemas.openxmlformats.org/officeDocument/2006/relationships/hyperlink" Target="http://www.hydrogenaudio.org/forums/index.php?showtopic=101073" TargetMode="External"/><Relationship Id="rId21" Type="http://schemas.openxmlformats.org/officeDocument/2006/relationships/hyperlink" Target="http://www.krishnasoft.com/sps.htm" TargetMode="External"/><Relationship Id="rId42" Type="http://schemas.openxmlformats.org/officeDocument/2006/relationships/hyperlink" Target="http://audacity.sourceforge.net/" TargetMode="External"/><Relationship Id="rId63" Type="http://schemas.openxmlformats.org/officeDocument/2006/relationships/hyperlink" Target="http://www.wavpack.com/" TargetMode="External"/><Relationship Id="rId84" Type="http://schemas.openxmlformats.org/officeDocument/2006/relationships/hyperlink" Target="http://soundcloud.com/tony-mccoy/electric-summer" TargetMode="External"/><Relationship Id="rId138" Type="http://schemas.openxmlformats.org/officeDocument/2006/relationships/hyperlink" Target="http://www.losslessaudio.org/" TargetMode="External"/><Relationship Id="rId159" Type="http://schemas.openxmlformats.org/officeDocument/2006/relationships/vmlDrawing" Target="../drawings/vmlDrawing3.vml"/><Relationship Id="rId107" Type="http://schemas.openxmlformats.org/officeDocument/2006/relationships/hyperlink" Target="http://www.hydrogenaudio.org/forums/index.php?showtopic=101073" TargetMode="External"/><Relationship Id="rId11" Type="http://schemas.openxmlformats.org/officeDocument/2006/relationships/hyperlink" Target="http://www.freac.org/index.php/de/downloads-mainmenu-33" TargetMode="External"/><Relationship Id="rId32" Type="http://schemas.openxmlformats.org/officeDocument/2006/relationships/hyperlink" Target="http://www.multitrackstudio.com/download.php" TargetMode="External"/><Relationship Id="rId53" Type="http://schemas.openxmlformats.org/officeDocument/2006/relationships/hyperlink" Target="http://www.freac.org/index.php/de/downloads-mainmenu-33" TargetMode="External"/><Relationship Id="rId74" Type="http://schemas.openxmlformats.org/officeDocument/2006/relationships/hyperlink" Target="http://freearc.org/" TargetMode="External"/><Relationship Id="rId128" Type="http://schemas.openxmlformats.org/officeDocument/2006/relationships/hyperlink" Target="https://drive.google.com/file/d/0ByLIAFlgldSoRDdnQkN5dm5EZnM/view?usp=sharing" TargetMode="External"/><Relationship Id="rId149" Type="http://schemas.openxmlformats.org/officeDocument/2006/relationships/hyperlink" Target="https://drive.google.com/drive/folders/0B_X1BeQ2TuWibTBmVG90S0k1bVE" TargetMode="External"/><Relationship Id="rId5" Type="http://schemas.openxmlformats.org/officeDocument/2006/relationships/hyperlink" Target="http://www.rarlabs.com/" TargetMode="External"/><Relationship Id="rId95" Type="http://schemas.openxmlformats.org/officeDocument/2006/relationships/hyperlink" Target="ftp://ftp.sac.sk/pub/sac/pack/winrk312.exe" TargetMode="External"/><Relationship Id="rId160" Type="http://schemas.openxmlformats.org/officeDocument/2006/relationships/image" Target="../media/image2.png"/><Relationship Id="rId22" Type="http://schemas.openxmlformats.org/officeDocument/2006/relationships/hyperlink" Target="http://ftp.sac.sk/sac/pack/lpacarch.zip" TargetMode="External"/><Relationship Id="rId43" Type="http://schemas.openxmlformats.org/officeDocument/2006/relationships/hyperlink" Target="http://www.krishnasoft.com/sps.htm" TargetMode="External"/><Relationship Id="rId64" Type="http://schemas.openxmlformats.org/officeDocument/2006/relationships/hyperlink" Target="http://cuetools.net/wiki/CUETools_Download" TargetMode="External"/><Relationship Id="rId118" Type="http://schemas.openxmlformats.org/officeDocument/2006/relationships/hyperlink" Target="http://www.thbeck.de/Tak/Tak.html" TargetMode="External"/><Relationship Id="rId139" Type="http://schemas.openxmlformats.org/officeDocument/2006/relationships/hyperlink" Target="http://www.losslessaudio.org/" TargetMode="External"/><Relationship Id="rId85" Type="http://schemas.openxmlformats.org/officeDocument/2006/relationships/hyperlink" Target="http://soundcloud.com/david-dupplaw/openimaj-and-imageterrier" TargetMode="External"/><Relationship Id="rId150" Type="http://schemas.openxmlformats.org/officeDocument/2006/relationships/hyperlink" Target="http://www.powerarchiver.com/" TargetMode="External"/><Relationship Id="rId12" Type="http://schemas.openxmlformats.org/officeDocument/2006/relationships/hyperlink" Target="http://www.lossless-audio.com/" TargetMode="External"/><Relationship Id="rId17" Type="http://schemas.openxmlformats.org/officeDocument/2006/relationships/hyperlink" Target="http://www.losslessaudio.org/" TargetMode="External"/><Relationship Id="rId33" Type="http://schemas.openxmlformats.org/officeDocument/2006/relationships/hyperlink" Target="http://www.winzip.com/" TargetMode="External"/><Relationship Id="rId38" Type="http://schemas.openxmlformats.org/officeDocument/2006/relationships/hyperlink" Target="http://encode.ru/threads/1137-Sac-%28State-of-the-Art%29-Lossless-Audio-Compression?highlight=sac" TargetMode="External"/><Relationship Id="rId59" Type="http://schemas.openxmlformats.org/officeDocument/2006/relationships/hyperlink" Target="http://www.losslessaudio.org/" TargetMode="External"/><Relationship Id="rId103" Type="http://schemas.openxmlformats.org/officeDocument/2006/relationships/hyperlink" Target="https://soundcloud.com/cyan-music/new-age-hippies-metamorphosia" TargetMode="External"/><Relationship Id="rId108" Type="http://schemas.openxmlformats.org/officeDocument/2006/relationships/hyperlink" Target="http://www.hydrogenaudio.org/forums/index.php?showtopic=90519" TargetMode="External"/><Relationship Id="rId124" Type="http://schemas.openxmlformats.org/officeDocument/2006/relationships/hyperlink" Target="http://heartofcomp.altervista.org/zcm092.zip" TargetMode="External"/><Relationship Id="rId129" Type="http://schemas.openxmlformats.org/officeDocument/2006/relationships/hyperlink" Target="https://drive.google.com/file/d/0ByLIAFlgldSoRDdnQkN5dm5EZnM/view?usp=sharing" TargetMode="External"/><Relationship Id="rId54" Type="http://schemas.openxmlformats.org/officeDocument/2006/relationships/hyperlink" Target="http://www.lossless-audio.com/" TargetMode="External"/><Relationship Id="rId70" Type="http://schemas.openxmlformats.org/officeDocument/2006/relationships/hyperlink" Target="http://www.multitrackstudio.com/download.php" TargetMode="External"/><Relationship Id="rId75" Type="http://schemas.openxmlformats.org/officeDocument/2006/relationships/hyperlink" Target="http://www.nanozip.net/" TargetMode="External"/><Relationship Id="rId91" Type="http://schemas.openxmlformats.org/officeDocument/2006/relationships/hyperlink" Target="http://www.lossless-audio.com/" TargetMode="External"/><Relationship Id="rId96" Type="http://schemas.openxmlformats.org/officeDocument/2006/relationships/hyperlink" Target="ftp://ftp.sac.sk/pub/sac/pack/rkau107.zip" TargetMode="External"/><Relationship Id="rId140" Type="http://schemas.openxmlformats.org/officeDocument/2006/relationships/hyperlink" Target="http://heartofcomp.altervista.org/packet1.9.zip" TargetMode="External"/><Relationship Id="rId145" Type="http://schemas.openxmlformats.org/officeDocument/2006/relationships/hyperlink" Target="http://www.losslessaudio.org/" TargetMode="External"/><Relationship Id="rId161" Type="http://schemas.openxmlformats.org/officeDocument/2006/relationships/comments" Target="../comments3.xml"/><Relationship Id="rId1" Type="http://schemas.openxmlformats.org/officeDocument/2006/relationships/hyperlink" Target="http://ftp.sac.sk/sac/pack/snrc21i.zip" TargetMode="External"/><Relationship Id="rId6" Type="http://schemas.openxmlformats.org/officeDocument/2006/relationships/hyperlink" Target="http://www.winace.com/" TargetMode="External"/><Relationship Id="rId23" Type="http://schemas.openxmlformats.org/officeDocument/2006/relationships/hyperlink" Target="http://www.wavpack.com/" TargetMode="External"/><Relationship Id="rId28" Type="http://schemas.openxmlformats.org/officeDocument/2006/relationships/hyperlink" Target="https://sites.google.com/site/sbcarchiver/" TargetMode="External"/><Relationship Id="rId49" Type="http://schemas.openxmlformats.org/officeDocument/2006/relationships/hyperlink" Target="http://www.winace.com/" TargetMode="External"/><Relationship Id="rId114" Type="http://schemas.openxmlformats.org/officeDocument/2006/relationships/hyperlink" Target="http://www.hydrogenaudio.org/forums/index.php?showtopic=90519" TargetMode="External"/><Relationship Id="rId119" Type="http://schemas.openxmlformats.org/officeDocument/2006/relationships/hyperlink" Target="http://sourceforge.net/projects/tta/" TargetMode="External"/><Relationship Id="rId44" Type="http://schemas.openxmlformats.org/officeDocument/2006/relationships/hyperlink" Target="http://soundcloud.com/shunward/stripper-luv-acapella" TargetMode="External"/><Relationship Id="rId60" Type="http://schemas.openxmlformats.org/officeDocument/2006/relationships/hyperlink" Target="http://www.losslessaudio.org/" TargetMode="External"/><Relationship Id="rId65" Type="http://schemas.openxmlformats.org/officeDocument/2006/relationships/hyperlink" Target="http://www.real.com/" TargetMode="External"/><Relationship Id="rId81" Type="http://schemas.openxmlformats.org/officeDocument/2006/relationships/hyperlink" Target="http://audacity.sourceforge.net/" TargetMode="External"/><Relationship Id="rId86" Type="http://schemas.openxmlformats.org/officeDocument/2006/relationships/hyperlink" Target="http://www.sonycreativesoftware.com/download/trials/soundforge" TargetMode="External"/><Relationship Id="rId130" Type="http://schemas.openxmlformats.org/officeDocument/2006/relationships/hyperlink" Target="https://drive.google.com/file/d/0ByLIAFlgldSoanNMSE5qOXRHeEE/view?usp=sharing" TargetMode="External"/><Relationship Id="rId135" Type="http://schemas.openxmlformats.org/officeDocument/2006/relationships/hyperlink" Target="https://drive.google.com/file/d/0ByLIAFlgldSoc0RsNW1leXd0VVk/view?usp=sharing" TargetMode="External"/><Relationship Id="rId151" Type="http://schemas.openxmlformats.org/officeDocument/2006/relationships/hyperlink" Target="https://encode.ru/attachment.php?attachmentid=5122&amp;d=1503087121" TargetMode="External"/><Relationship Id="rId156" Type="http://schemas.openxmlformats.org/officeDocument/2006/relationships/hyperlink" Target="https://encode.ru/attachment.php?attachmentid=5284&amp;d=1504849543" TargetMode="External"/><Relationship Id="rId13" Type="http://schemas.openxmlformats.org/officeDocument/2006/relationships/hyperlink" Target="http://www.lossless-audio.com/" TargetMode="External"/><Relationship Id="rId18" Type="http://schemas.openxmlformats.org/officeDocument/2006/relationships/hyperlink" Target="http://www.losslessaudio.org/" TargetMode="External"/><Relationship Id="rId39" Type="http://schemas.openxmlformats.org/officeDocument/2006/relationships/hyperlink" Target="http://www.gzip.org/" TargetMode="External"/><Relationship Id="rId109" Type="http://schemas.openxmlformats.org/officeDocument/2006/relationships/hyperlink" Target="http://flake-enc.sourceforge.net/" TargetMode="External"/><Relationship Id="rId34" Type="http://schemas.openxmlformats.org/officeDocument/2006/relationships/hyperlink" Target="http://www.wavpack.com/" TargetMode="External"/><Relationship Id="rId50" Type="http://schemas.openxmlformats.org/officeDocument/2006/relationships/hyperlink" Target="http://ftp.sac.sk/sac/pack/short360.zip" TargetMode="External"/><Relationship Id="rId55" Type="http://schemas.openxmlformats.org/officeDocument/2006/relationships/hyperlink" Target="http://www.lossless-audio.com/" TargetMode="External"/><Relationship Id="rId76" Type="http://schemas.openxmlformats.org/officeDocument/2006/relationships/hyperlink" Target="http://www.thbeck.de/Tak/Tak.html" TargetMode="External"/><Relationship Id="rId97" Type="http://schemas.openxmlformats.org/officeDocument/2006/relationships/hyperlink" Target="ftp://ftp.sac.sk/pub/sac/pack/rkau107.zip" TargetMode="External"/><Relationship Id="rId104" Type="http://schemas.openxmlformats.org/officeDocument/2006/relationships/hyperlink" Target="http://www.thbeck.de/Tak/Tak.html" TargetMode="External"/><Relationship Id="rId120" Type="http://schemas.openxmlformats.org/officeDocument/2006/relationships/hyperlink" Target="http://encode.ru/attachment.php?attachmentid=1501&amp;d=1298990074" TargetMode="External"/><Relationship Id="rId125" Type="http://schemas.openxmlformats.org/officeDocument/2006/relationships/hyperlink" Target="http://heartofcomp.altervista.org/zcm092.zip" TargetMode="External"/><Relationship Id="rId141" Type="http://schemas.openxmlformats.org/officeDocument/2006/relationships/hyperlink" Target="http://heartofcomp.altervista.org/packet1.9.zip" TargetMode="External"/><Relationship Id="rId146" Type="http://schemas.openxmlformats.org/officeDocument/2006/relationships/hyperlink" Target="http://www.losslessaudio.org/" TargetMode="External"/><Relationship Id="rId7" Type="http://schemas.openxmlformats.org/officeDocument/2006/relationships/hyperlink" Target="http://ftp.sac.sk/sac/pack/short360.zip" TargetMode="External"/><Relationship Id="rId71" Type="http://schemas.openxmlformats.org/officeDocument/2006/relationships/hyperlink" Target="http://www.all4mp3.com/tools/mp3HD-tools.php" TargetMode="External"/><Relationship Id="rId92" Type="http://schemas.openxmlformats.org/officeDocument/2006/relationships/hyperlink" Target="http://www.lossless-audio.com/" TargetMode="External"/><Relationship Id="rId2" Type="http://schemas.openxmlformats.org/officeDocument/2006/relationships/hyperlink" Target="http://www.7-zip.org/" TargetMode="External"/><Relationship Id="rId29" Type="http://schemas.openxmlformats.org/officeDocument/2006/relationships/hyperlink" Target="http://sourceforge.net/projects/tta/" TargetMode="External"/><Relationship Id="rId24" Type="http://schemas.openxmlformats.org/officeDocument/2006/relationships/hyperlink" Target="https://github.com/nu774/qaac" TargetMode="External"/><Relationship Id="rId40" Type="http://schemas.openxmlformats.org/officeDocument/2006/relationships/hyperlink" Target="http://www.bzip.org/" TargetMode="External"/><Relationship Id="rId45" Type="http://schemas.openxmlformats.org/officeDocument/2006/relationships/hyperlink" Target="http://anadyomene-records.com/mp3.htm" TargetMode="External"/><Relationship Id="rId66" Type="http://schemas.openxmlformats.org/officeDocument/2006/relationships/hyperlink" Target="http://sourceforge.net/projects/flac/?source=directory" TargetMode="External"/><Relationship Id="rId87" Type="http://schemas.openxmlformats.org/officeDocument/2006/relationships/hyperlink" Target="http://www.speedproject.de/enu/" TargetMode="External"/><Relationship Id="rId110" Type="http://schemas.openxmlformats.org/officeDocument/2006/relationships/hyperlink" Target="http://ftp.sac.sk/sac/pack/uharc06b.zip" TargetMode="External"/><Relationship Id="rId115" Type="http://schemas.openxmlformats.org/officeDocument/2006/relationships/hyperlink" Target="http://www.hydrogenaudio.org/forums/index.php?showtopic=101073" TargetMode="External"/><Relationship Id="rId131" Type="http://schemas.openxmlformats.org/officeDocument/2006/relationships/hyperlink" Target="https://drive.google.com/file/d/0ByLIAFlgldSoYVZhTjh1NU9vQ1U/view?usp=sharing" TargetMode="External"/><Relationship Id="rId136" Type="http://schemas.openxmlformats.org/officeDocument/2006/relationships/hyperlink" Target="https://drive.google.com/file/d/0ByLIAFlgldSoV0JoZDg3UzRaLWs/view?usp=sharing" TargetMode="External"/><Relationship Id="rId157" Type="http://schemas.openxmlformats.org/officeDocument/2006/relationships/printerSettings" Target="../printerSettings/printerSettings6.bin"/><Relationship Id="rId61" Type="http://schemas.openxmlformats.org/officeDocument/2006/relationships/hyperlink" Target="http://www.stuffit.com/" TargetMode="External"/><Relationship Id="rId82" Type="http://schemas.openxmlformats.org/officeDocument/2006/relationships/hyperlink" Target="http://www.krishnasoft.com/sps.htm" TargetMode="External"/><Relationship Id="rId152" Type="http://schemas.openxmlformats.org/officeDocument/2006/relationships/hyperlink" Target="https://drive.google.com/drive/folders/0B_X1BeQ2TuWibTBmVG90S0k1bVE" TargetMode="External"/><Relationship Id="rId19" Type="http://schemas.openxmlformats.org/officeDocument/2006/relationships/hyperlink" Target="http://www.stuffit.com/" TargetMode="External"/><Relationship Id="rId14" Type="http://schemas.openxmlformats.org/officeDocument/2006/relationships/hyperlink" Target="http://www.losslessaudio.org/" TargetMode="External"/><Relationship Id="rId30" Type="http://schemas.openxmlformats.org/officeDocument/2006/relationships/hyperlink" Target="http://www.nue.tu-berlin.de/menue/forschung/projekte/beendete_projekte/mpeg-4_audio_lossless_coding_als/parameter/en/" TargetMode="External"/><Relationship Id="rId35" Type="http://schemas.openxmlformats.org/officeDocument/2006/relationships/hyperlink" Target="http://freearc.org/" TargetMode="External"/><Relationship Id="rId56" Type="http://schemas.openxmlformats.org/officeDocument/2006/relationships/hyperlink" Target="http://www.losslessaudio.org/" TargetMode="External"/><Relationship Id="rId77" Type="http://schemas.openxmlformats.org/officeDocument/2006/relationships/hyperlink" Target="http://encode.ru/threads/1137-Sac-%28State-of-the-Art%29-Lossless-Audio-Compression?highlight=sac" TargetMode="External"/><Relationship Id="rId100" Type="http://schemas.openxmlformats.org/officeDocument/2006/relationships/hyperlink" Target="http://www.7-zip.org/" TargetMode="External"/><Relationship Id="rId105" Type="http://schemas.openxmlformats.org/officeDocument/2006/relationships/hyperlink" Target="http://audiophilesoft.ru/load/coders_utils/flac/7-1-0-33" TargetMode="External"/><Relationship Id="rId126" Type="http://schemas.openxmlformats.org/officeDocument/2006/relationships/hyperlink" Target="https://github.com/mathieuchartier/mcm/tree/v0.83" TargetMode="External"/><Relationship Id="rId147" Type="http://schemas.openxmlformats.org/officeDocument/2006/relationships/hyperlink" Target="http://www.losslessaudio.org/" TargetMode="External"/><Relationship Id="rId8" Type="http://schemas.openxmlformats.org/officeDocument/2006/relationships/hyperlink" Target="http://www.emit.jp/dgca/dgca_e.html" TargetMode="External"/><Relationship Id="rId51" Type="http://schemas.openxmlformats.org/officeDocument/2006/relationships/hyperlink" Target="http://www.emit.jp/dgca/dgca_e.html" TargetMode="External"/><Relationship Id="rId72" Type="http://schemas.openxmlformats.org/officeDocument/2006/relationships/hyperlink" Target="http://www.winzip.com/" TargetMode="External"/><Relationship Id="rId93" Type="http://schemas.openxmlformats.org/officeDocument/2006/relationships/hyperlink" Target="http://www.speedproject.de/enu/" TargetMode="External"/><Relationship Id="rId98" Type="http://schemas.openxmlformats.org/officeDocument/2006/relationships/hyperlink" Target="http://soundcloud.com/cyan-music/smooth-genestar-the-source" TargetMode="External"/><Relationship Id="rId121" Type="http://schemas.openxmlformats.org/officeDocument/2006/relationships/hyperlink" Target="http://encode.ru/attachment.php?attachmentid=1501&amp;d=1298990074" TargetMode="External"/><Relationship Id="rId142" Type="http://schemas.openxmlformats.org/officeDocument/2006/relationships/hyperlink" Target="http://www.losslessaudio.org/" TargetMode="External"/><Relationship Id="rId3" Type="http://schemas.openxmlformats.org/officeDocument/2006/relationships/hyperlink" Target="http://ftp.sac.sk/sac/pack/vocpak10.zip" TargetMode="External"/><Relationship Id="rId25" Type="http://schemas.openxmlformats.org/officeDocument/2006/relationships/hyperlink" Target="http://cuetools.net/wiki/CUETools_Download" TargetMode="External"/><Relationship Id="rId46" Type="http://schemas.openxmlformats.org/officeDocument/2006/relationships/hyperlink" Target="http://ftp.sac.sk/sac/pack/snrc21i.zip" TargetMode="External"/><Relationship Id="rId67" Type="http://schemas.openxmlformats.org/officeDocument/2006/relationships/hyperlink" Target="https://sites.google.com/site/sbcarchiver/" TargetMode="External"/><Relationship Id="rId116" Type="http://schemas.openxmlformats.org/officeDocument/2006/relationships/hyperlink" Target="http://audiophilesoft.ru/load/coders_utils/flac/7-1-0-33" TargetMode="External"/><Relationship Id="rId137" Type="http://schemas.openxmlformats.org/officeDocument/2006/relationships/hyperlink" Target="https://drive.google.com/file/d/0ByLIAFlgldSoLVprNFF2ckQxblU/view?usp=sharing" TargetMode="External"/><Relationship Id="rId158" Type="http://schemas.openxmlformats.org/officeDocument/2006/relationships/drawing" Target="../drawings/drawing4.xml"/><Relationship Id="rId20" Type="http://schemas.openxmlformats.org/officeDocument/2006/relationships/hyperlink" Target="http://www.monkeysaudio.com/" TargetMode="External"/><Relationship Id="rId41" Type="http://schemas.openxmlformats.org/officeDocument/2006/relationships/hyperlink" Target="http://www.sonycreativesoftware.com/download/trials/soundforge" TargetMode="External"/><Relationship Id="rId62" Type="http://schemas.openxmlformats.org/officeDocument/2006/relationships/hyperlink" Target="http://www.krishnasoft.com/sps.htm" TargetMode="External"/><Relationship Id="rId83" Type="http://schemas.openxmlformats.org/officeDocument/2006/relationships/hyperlink" Target="http://soundcloud.com/mrdodi/pendulum-the-island-pt-1-dawn" TargetMode="External"/><Relationship Id="rId88" Type="http://schemas.openxmlformats.org/officeDocument/2006/relationships/hyperlink" Target="http://www.mattmahoney.net/dc/text.html" TargetMode="External"/><Relationship Id="rId111" Type="http://schemas.openxmlformats.org/officeDocument/2006/relationships/hyperlink" Target="https://github.com/nu774/qaac" TargetMode="External"/><Relationship Id="rId132" Type="http://schemas.openxmlformats.org/officeDocument/2006/relationships/hyperlink" Target="https://drive.google.com/file/d/0ByLIAFlgldSobzZJdHAteG1rT0U/view?usp=sharing" TargetMode="External"/><Relationship Id="rId153" Type="http://schemas.openxmlformats.org/officeDocument/2006/relationships/hyperlink" Target="http://www.powerarchiver.com/" TargetMode="External"/><Relationship Id="rId15" Type="http://schemas.openxmlformats.org/officeDocument/2006/relationships/hyperlink" Target="http://www.losslessaudio.org/" TargetMode="External"/><Relationship Id="rId36" Type="http://schemas.openxmlformats.org/officeDocument/2006/relationships/hyperlink" Target="http://www.nanozip.net/" TargetMode="External"/><Relationship Id="rId57" Type="http://schemas.openxmlformats.org/officeDocument/2006/relationships/hyperlink" Target="http://www.losslessaudio.org/" TargetMode="External"/><Relationship Id="rId106" Type="http://schemas.openxmlformats.org/officeDocument/2006/relationships/hyperlink" Target="http://www.hydrogenaudio.org/forums/index.php?showtopic=101073" TargetMode="External"/><Relationship Id="rId127" Type="http://schemas.openxmlformats.org/officeDocument/2006/relationships/hyperlink" Target="https://github.com/mathieuchartier/mcm/tree/v0.83" TargetMode="External"/><Relationship Id="rId10" Type="http://schemas.openxmlformats.org/officeDocument/2006/relationships/hyperlink" Target="http://www.steinberg.net/de/products/wavelab/daten_downloads.html" TargetMode="External"/><Relationship Id="rId31" Type="http://schemas.openxmlformats.org/officeDocument/2006/relationships/hyperlink" Target="http://www.nue.tu-berlin.de/menue/forschung/projekte/beendete_projekte/mpeg-4_audio_lossless_coding_als/parameter/en/" TargetMode="External"/><Relationship Id="rId52" Type="http://schemas.openxmlformats.org/officeDocument/2006/relationships/hyperlink" Target="http://www.steinberg.net/de/products/wavelab/daten_downloads.html" TargetMode="External"/><Relationship Id="rId73" Type="http://schemas.openxmlformats.org/officeDocument/2006/relationships/hyperlink" Target="http://www.wavpack.com/" TargetMode="External"/><Relationship Id="rId78" Type="http://schemas.openxmlformats.org/officeDocument/2006/relationships/hyperlink" Target="http://www.gzip.org/" TargetMode="External"/><Relationship Id="rId94" Type="http://schemas.openxmlformats.org/officeDocument/2006/relationships/hyperlink" Target="ftp://ftp.sac.sk/pub/sac/pack/winrk312.exe" TargetMode="External"/><Relationship Id="rId99" Type="http://schemas.openxmlformats.org/officeDocument/2006/relationships/hyperlink" Target="http://soundcloud.com/caalamus/blues-alley-a-caalamus" TargetMode="External"/><Relationship Id="rId101" Type="http://schemas.openxmlformats.org/officeDocument/2006/relationships/hyperlink" Target="https://soundcloud.com/crystal-newton/declaration-of-love" TargetMode="External"/><Relationship Id="rId122" Type="http://schemas.openxmlformats.org/officeDocument/2006/relationships/hyperlink" Target="http://www.rarlabs.com/" TargetMode="External"/><Relationship Id="rId143" Type="http://schemas.openxmlformats.org/officeDocument/2006/relationships/hyperlink" Target="http://www.losslessaudio.org/" TargetMode="External"/><Relationship Id="rId148" Type="http://schemas.openxmlformats.org/officeDocument/2006/relationships/hyperlink" Target="https://encode.ru/attachment.php?attachmentid=5122&amp;d=1503087121" TargetMode="External"/><Relationship Id="rId4" Type="http://schemas.openxmlformats.org/officeDocument/2006/relationships/hyperlink" Target="http://onda.sourceforge.net/" TargetMode="External"/><Relationship Id="rId9" Type="http://schemas.openxmlformats.org/officeDocument/2006/relationships/hyperlink" Target="http://ftp.sac.sk/sac/pack/uharc06b.zip" TargetMode="External"/><Relationship Id="rId26" Type="http://schemas.openxmlformats.org/officeDocument/2006/relationships/hyperlink" Target="http://www.real.com/" TargetMode="External"/><Relationship Id="rId47" Type="http://schemas.openxmlformats.org/officeDocument/2006/relationships/hyperlink" Target="http://ftp.sac.sk/sac/pack/vocpak10.zip" TargetMode="External"/><Relationship Id="rId68" Type="http://schemas.openxmlformats.org/officeDocument/2006/relationships/hyperlink" Target="http://www.nue.tu-berlin.de/menue/forschung/projekte/beendete_projekte/mpeg-4_audio_lossless_coding_als/parameter/en/" TargetMode="External"/><Relationship Id="rId89" Type="http://schemas.openxmlformats.org/officeDocument/2006/relationships/hyperlink" Target="http://www.mattmahoney.net/dc/text.html" TargetMode="External"/><Relationship Id="rId112" Type="http://schemas.openxmlformats.org/officeDocument/2006/relationships/hyperlink" Target="http://ftp.sac.sk/sac/pack/lpacarch.zip" TargetMode="External"/><Relationship Id="rId133" Type="http://schemas.openxmlformats.org/officeDocument/2006/relationships/hyperlink" Target="https://drive.google.com/file/d/0ByLIAFlgldSocmZMdnFfRDRfWW8/view?usp=sharing" TargetMode="External"/><Relationship Id="rId154" Type="http://schemas.openxmlformats.org/officeDocument/2006/relationships/hyperlink" Target="https://encode.ru/attachment.php?attachmentid=5247&amp;d=1504524157" TargetMode="External"/><Relationship Id="rId16" Type="http://schemas.openxmlformats.org/officeDocument/2006/relationships/hyperlink" Target="http://www.losslessaudio.org/" TargetMode="External"/><Relationship Id="rId37" Type="http://schemas.openxmlformats.org/officeDocument/2006/relationships/hyperlink" Target="http://www.thbeck.de/Tak/Tak.html" TargetMode="External"/><Relationship Id="rId58" Type="http://schemas.openxmlformats.org/officeDocument/2006/relationships/hyperlink" Target="http://www.losslessaudio.org/" TargetMode="External"/><Relationship Id="rId79" Type="http://schemas.openxmlformats.org/officeDocument/2006/relationships/hyperlink" Target="http://www.bzip.org/" TargetMode="External"/><Relationship Id="rId102" Type="http://schemas.openxmlformats.org/officeDocument/2006/relationships/hyperlink" Target="https://soundcloud.com/user1261136/have-you-seen-the-lizards" TargetMode="External"/><Relationship Id="rId123" Type="http://schemas.openxmlformats.org/officeDocument/2006/relationships/hyperlink" Target="http://www.rarlabs.com/" TargetMode="External"/><Relationship Id="rId144" Type="http://schemas.openxmlformats.org/officeDocument/2006/relationships/hyperlink" Target="http://www.losslessaudio.org/" TargetMode="External"/><Relationship Id="rId90" Type="http://schemas.openxmlformats.org/officeDocument/2006/relationships/hyperlink" Target="http://www.sonycreativesoftware.com/download/trials/soundforge" TargetMode="External"/><Relationship Id="rId27" Type="http://schemas.openxmlformats.org/officeDocument/2006/relationships/hyperlink" Target="http://sourceforge.net/projects/flac/?source=directory" TargetMode="External"/><Relationship Id="rId48" Type="http://schemas.openxmlformats.org/officeDocument/2006/relationships/hyperlink" Target="http://www.rarlabs.com/" TargetMode="External"/><Relationship Id="rId69" Type="http://schemas.openxmlformats.org/officeDocument/2006/relationships/hyperlink" Target="http://www.nue.tu-berlin.de/menue/forschung/projekte/beendete_projekte/mpeg-4_audio_lossless_coding_als/parameter/en/" TargetMode="External"/><Relationship Id="rId113" Type="http://schemas.openxmlformats.org/officeDocument/2006/relationships/hyperlink" Target="http://onda.sourceforge.net/" TargetMode="External"/><Relationship Id="rId134" Type="http://schemas.openxmlformats.org/officeDocument/2006/relationships/hyperlink" Target="https://drive.google.com/file/d/0ByLIAFlgldSoeDd4eW5sT3hCdlE/view?usp=sharing" TargetMode="External"/><Relationship Id="rId80" Type="http://schemas.openxmlformats.org/officeDocument/2006/relationships/hyperlink" Target="http://www.sonycreativesoftware.com/download/trials/soundforge" TargetMode="External"/><Relationship Id="rId155" Type="http://schemas.openxmlformats.org/officeDocument/2006/relationships/hyperlink" Target="https://encode.ru/attachment.php?attachmentid=5284&amp;d=1504849543" TargetMode="External"/></Relationships>
</file>

<file path=xl/worksheets/_rels/sheet7.xml.rels><?xml version="1.0" encoding="UTF-8" standalone="yes"?>
<Relationships xmlns="http://schemas.openxmlformats.org/package/2006/relationships"><Relationship Id="rId13" Type="http://schemas.openxmlformats.org/officeDocument/2006/relationships/hyperlink" Target="http://download.klauspost.com/rawcompress/" TargetMode="External"/><Relationship Id="rId18" Type="http://schemas.openxmlformats.org/officeDocument/2006/relationships/hyperlink" Target="http://www.impulseadventure.com/photo/" TargetMode="External"/><Relationship Id="rId26" Type="http://schemas.openxmlformats.org/officeDocument/2006/relationships/hyperlink" Target="https://github.com/mathieuchartier/mcm" TargetMode="External"/><Relationship Id="rId3" Type="http://schemas.openxmlformats.org/officeDocument/2006/relationships/hyperlink" Target="http://www.winzip.com/" TargetMode="External"/><Relationship Id="rId21" Type="http://schemas.openxmlformats.org/officeDocument/2006/relationships/hyperlink" Target="http://flif.info/" TargetMode="External"/><Relationship Id="rId34" Type="http://schemas.openxmlformats.org/officeDocument/2006/relationships/image" Target="../media/image2.png"/><Relationship Id="rId7" Type="http://schemas.openxmlformats.org/officeDocument/2006/relationships/hyperlink" Target="http://www.winzip.com/" TargetMode="External"/><Relationship Id="rId12" Type="http://schemas.openxmlformats.org/officeDocument/2006/relationships/hyperlink" Target="http://download.klauspost.com/rawcompress/" TargetMode="External"/><Relationship Id="rId17" Type="http://schemas.openxmlformats.org/officeDocument/2006/relationships/hyperlink" Target="http://www.imagecompression.info/test_images/squeezechart_camera_raw.zip" TargetMode="External"/><Relationship Id="rId25" Type="http://schemas.openxmlformats.org/officeDocument/2006/relationships/hyperlink" Target="http://www.7-zip.org/" TargetMode="External"/><Relationship Id="rId33" Type="http://schemas.openxmlformats.org/officeDocument/2006/relationships/printerSettings" Target="../printerSettings/printerSettings7.bin"/><Relationship Id="rId2" Type="http://schemas.openxmlformats.org/officeDocument/2006/relationships/hyperlink" Target="http://www.rarlab.com/" TargetMode="External"/><Relationship Id="rId16" Type="http://schemas.openxmlformats.org/officeDocument/2006/relationships/hyperlink" Target="http://download.klauspost.com/rawcompress/" TargetMode="External"/><Relationship Id="rId20" Type="http://schemas.openxmlformats.org/officeDocument/2006/relationships/hyperlink" Target="http://download.klauspost.com/rawcompress/" TargetMode="External"/><Relationship Id="rId29" Type="http://schemas.openxmlformats.org/officeDocument/2006/relationships/hyperlink" Target="http://flif.info/" TargetMode="External"/><Relationship Id="rId1" Type="http://schemas.openxmlformats.org/officeDocument/2006/relationships/hyperlink" Target="http://www.7-zip.org/" TargetMode="External"/><Relationship Id="rId6" Type="http://schemas.openxmlformats.org/officeDocument/2006/relationships/hyperlink" Target="https://drive.google.com/file/d/0ByLIAFlgldSoVk1pcEw2dzU5SWs/view?usp=sharing" TargetMode="External"/><Relationship Id="rId11" Type="http://schemas.openxmlformats.org/officeDocument/2006/relationships/hyperlink" Target="http://download.klauspost.com/rawcompress/" TargetMode="External"/><Relationship Id="rId24" Type="http://schemas.openxmlformats.org/officeDocument/2006/relationships/hyperlink" Target="http://www.7-zip.org/" TargetMode="External"/><Relationship Id="rId32" Type="http://schemas.openxmlformats.org/officeDocument/2006/relationships/hyperlink" Target="https://drive.google.com/open?id=0B_X1BeQ2TuWiWVFVTnhMSFhiZHM" TargetMode="External"/><Relationship Id="rId5" Type="http://schemas.openxmlformats.org/officeDocument/2006/relationships/hyperlink" Target="http://www.emit.jp/dgca/dgca_v110e.exe" TargetMode="External"/><Relationship Id="rId15" Type="http://schemas.openxmlformats.org/officeDocument/2006/relationships/hyperlink" Target="http://download.klauspost.com/rawcompress/" TargetMode="External"/><Relationship Id="rId23" Type="http://schemas.openxmlformats.org/officeDocument/2006/relationships/hyperlink" Target="http://download.klauspost.com/rawcompress/" TargetMode="External"/><Relationship Id="rId28" Type="http://schemas.openxmlformats.org/officeDocument/2006/relationships/hyperlink" Target="http://flif.info/" TargetMode="External"/><Relationship Id="rId10" Type="http://schemas.openxmlformats.org/officeDocument/2006/relationships/hyperlink" Target="http://www.winzip.com/" TargetMode="External"/><Relationship Id="rId19" Type="http://schemas.openxmlformats.org/officeDocument/2006/relationships/hyperlink" Target="https://drive.google.com/file/d/0ByLIAFlgldSoT3ZGVFVkc2xzUGc/view?usp=sharing" TargetMode="External"/><Relationship Id="rId31" Type="http://schemas.openxmlformats.org/officeDocument/2006/relationships/hyperlink" Target="http://flif.info/" TargetMode="External"/><Relationship Id="rId4" Type="http://schemas.openxmlformats.org/officeDocument/2006/relationships/hyperlink" Target="http://www.bzip.org/" TargetMode="External"/><Relationship Id="rId9" Type="http://schemas.openxmlformats.org/officeDocument/2006/relationships/hyperlink" Target="http://libbsc.com/" TargetMode="External"/><Relationship Id="rId14" Type="http://schemas.openxmlformats.org/officeDocument/2006/relationships/hyperlink" Target="http://download.klauspost.com/rawcompress/" TargetMode="External"/><Relationship Id="rId22" Type="http://schemas.openxmlformats.org/officeDocument/2006/relationships/hyperlink" Target="https://github.com/mathieuchartier/mcm" TargetMode="External"/><Relationship Id="rId27" Type="http://schemas.openxmlformats.org/officeDocument/2006/relationships/hyperlink" Target="http://flif.info/" TargetMode="External"/><Relationship Id="rId30" Type="http://schemas.openxmlformats.org/officeDocument/2006/relationships/hyperlink" Target="http://flif.info/" TargetMode="External"/><Relationship Id="rId8" Type="http://schemas.openxmlformats.org/officeDocument/2006/relationships/hyperlink" Target="http://mattmahoney.net/dc/zpaq.html" TargetMode="Externa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hyperlink" Target="https://drive.google.com/open?id=0B_X1BeQ2TuWiOF9pZVF4eXZNLTQ" TargetMode="External"/><Relationship Id="rId3" Type="http://schemas.openxmlformats.org/officeDocument/2006/relationships/hyperlink" Target="http://www.7-zip.org/" TargetMode="External"/><Relationship Id="rId7" Type="http://schemas.openxmlformats.org/officeDocument/2006/relationships/hyperlink" Target="https://encode.ru/attachment.php?attachmentid=4914&amp;d=1495985375" TargetMode="External"/><Relationship Id="rId2" Type="http://schemas.openxmlformats.org/officeDocument/2006/relationships/hyperlink" Target="http://www.7-zip.org/" TargetMode="External"/><Relationship Id="rId1" Type="http://schemas.openxmlformats.org/officeDocument/2006/relationships/hyperlink" Target="https://drive.google.com/file/d/0ByLIAFlgldSoVk1pcEw2dzU5SWs/view?usp=sharing" TargetMode="External"/><Relationship Id="rId6" Type="http://schemas.openxmlformats.org/officeDocument/2006/relationships/hyperlink" Target="https://encode.ru/attachment.php?attachmentid=4914&amp;d=1495985375" TargetMode="External"/><Relationship Id="rId11" Type="http://schemas.openxmlformats.org/officeDocument/2006/relationships/image" Target="../media/image2.png"/><Relationship Id="rId5" Type="http://schemas.openxmlformats.org/officeDocument/2006/relationships/hyperlink" Target="http://nishi.dreamhosters.com/u/flifraw_v0.7z" TargetMode="External"/><Relationship Id="rId10" Type="http://schemas.openxmlformats.org/officeDocument/2006/relationships/printerSettings" Target="../printerSettings/printerSettings8.bin"/><Relationship Id="rId4" Type="http://schemas.openxmlformats.org/officeDocument/2006/relationships/hyperlink" Target="http://nishi.dreamhosters.com/u/flifraw_v1.7z" TargetMode="External"/><Relationship Id="rId9" Type="http://schemas.openxmlformats.org/officeDocument/2006/relationships/hyperlink" Target="https://drive.google.com/open?id=0B_X1BeQ2TuWiWVFVTnhMSFhiZHM" TargetMode="External"/></Relationships>
</file>

<file path=xl/worksheets/_rels/sheet9.xml.rels><?xml version="1.0" encoding="UTF-8" standalone="yes"?>
<Relationships xmlns="http://schemas.openxmlformats.org/package/2006/relationships"><Relationship Id="rId26" Type="http://schemas.openxmlformats.org/officeDocument/2006/relationships/hyperlink" Target="http://www.enigmaprotector.com/en/downloads.html" TargetMode="External"/><Relationship Id="rId21" Type="http://schemas.openxmlformats.org/officeDocument/2006/relationships/hyperlink" Target="http://encode.ru/attachment.php?attachmentid=4536&amp;d=1468876571" TargetMode="External"/><Relationship Id="rId34" Type="http://schemas.openxmlformats.org/officeDocument/2006/relationships/hyperlink" Target="http://aspack.com/" TargetMode="External"/><Relationship Id="rId42" Type="http://schemas.openxmlformats.org/officeDocument/2006/relationships/hyperlink" Target="http://freearc.org/" TargetMode="External"/><Relationship Id="rId47" Type="http://schemas.openxmlformats.org/officeDocument/2006/relationships/hyperlink" Target="http://www.cgsoftlabs.ro/express.html" TargetMode="External"/><Relationship Id="rId50" Type="http://schemas.openxmlformats.org/officeDocument/2006/relationships/hyperlink" Target="https://encode.ru/attachment.php?attachmentid=5122&amp;d=1503087121" TargetMode="External"/><Relationship Id="rId55" Type="http://schemas.openxmlformats.org/officeDocument/2006/relationships/hyperlink" Target="http://canabalt.com/" TargetMode="External"/><Relationship Id="rId63" Type="http://schemas.openxmlformats.org/officeDocument/2006/relationships/hyperlink" Target="https://encode.ru/attachment.php?attachmentid=5493&amp;d=1510501914" TargetMode="External"/><Relationship Id="rId7" Type="http://schemas.openxmlformats.org/officeDocument/2006/relationships/hyperlink" Target="https://drive.google.com/open?id=0B_X1BeQ2TuWiVE43ZGZOWW1ZMGs" TargetMode="External"/><Relationship Id="rId2" Type="http://schemas.openxmlformats.org/officeDocument/2006/relationships/hyperlink" Target="http://mattmahoney.net/dc/text.html" TargetMode="External"/><Relationship Id="rId16" Type="http://schemas.openxmlformats.org/officeDocument/2006/relationships/hyperlink" Target="http://encode.ru/attachment.php?attachmentid=4699&amp;d=1475957410" TargetMode="External"/><Relationship Id="rId29" Type="http://schemas.openxmlformats.org/officeDocument/2006/relationships/hyperlink" Target="https://www.obsidium.de/" TargetMode="External"/><Relationship Id="rId11" Type="http://schemas.openxmlformats.org/officeDocument/2006/relationships/hyperlink" Target="http://www.sumatrapdfreader.org/" TargetMode="External"/><Relationship Id="rId24" Type="http://schemas.openxmlformats.org/officeDocument/2006/relationships/hyperlink" Target="http://www.scottlu.com/Content/CExe.html" TargetMode="External"/><Relationship Id="rId32" Type="http://schemas.openxmlformats.org/officeDocument/2006/relationships/hyperlink" Target="https://bitsum.com/pecompact_trial.php" TargetMode="External"/><Relationship Id="rId37" Type="http://schemas.openxmlformats.org/officeDocument/2006/relationships/hyperlink" Target="https://bitsum.com/pecompact_trial.php" TargetMode="External"/><Relationship Id="rId40" Type="http://schemas.openxmlformats.org/officeDocument/2006/relationships/hyperlink" Target="https://bitsum.com/pecompact_trial.php" TargetMode="External"/><Relationship Id="rId45" Type="http://schemas.openxmlformats.org/officeDocument/2006/relationships/hyperlink" Target="http://and.intercon.ru/releases/tools/andpakk2/" TargetMode="External"/><Relationship Id="rId53" Type="http://schemas.openxmlformats.org/officeDocument/2006/relationships/hyperlink" Target="https://encode.ru/attachment.php?attachmentid=5251&amp;d=1504551035" TargetMode="External"/><Relationship Id="rId58" Type="http://schemas.openxmlformats.org/officeDocument/2006/relationships/hyperlink" Target="https://drive.google.com/file/d/0ByLIAFlgldSoZ01RUGxQN1Y3WUk/view?usp=sharing" TargetMode="External"/><Relationship Id="rId66" Type="http://schemas.openxmlformats.org/officeDocument/2006/relationships/image" Target="../media/image5.png"/><Relationship Id="rId5" Type="http://schemas.openxmlformats.org/officeDocument/2006/relationships/hyperlink" Target="https://drive.google.com/file/d/0ByLIAFlgldSoZlZzTThNOHVkbFE/view?usp=sharing" TargetMode="External"/><Relationship Id="rId61" Type="http://schemas.openxmlformats.org/officeDocument/2006/relationships/hyperlink" Target="https://drive.google.com/file/d/0ByLIAFlgldSoN1VBdU5uM3lJd1k/view?usp=sharing" TargetMode="External"/><Relationship Id="rId19" Type="http://schemas.openxmlformats.org/officeDocument/2006/relationships/hyperlink" Target="http://www.compression.ru/ds/" TargetMode="External"/><Relationship Id="rId14" Type="http://schemas.openxmlformats.org/officeDocument/2006/relationships/hyperlink" Target="http://mattmahoney.net/dc/zpaq.html" TargetMode="External"/><Relationship Id="rId22" Type="http://schemas.openxmlformats.org/officeDocument/2006/relationships/hyperlink" Target="ftp://ftp.sac.sk/pub/sac/pack/slim023d.zip" TargetMode="External"/><Relationship Id="rId27" Type="http://schemas.openxmlformats.org/officeDocument/2006/relationships/hyperlink" Target="http://www.farbrausch.de/~fg/kkrunchy/" TargetMode="External"/><Relationship Id="rId30" Type="http://schemas.openxmlformats.org/officeDocument/2006/relationships/hyperlink" Target="http://www.un4seen.com/petite/" TargetMode="External"/><Relationship Id="rId35" Type="http://schemas.openxmlformats.org/officeDocument/2006/relationships/hyperlink" Target="http://www.7-zip.org/" TargetMode="External"/><Relationship Id="rId43" Type="http://schemas.openxmlformats.org/officeDocument/2006/relationships/hyperlink" Target="http://www.matcode.com/mpress.htm" TargetMode="External"/><Relationship Id="rId48" Type="http://schemas.openxmlformats.org/officeDocument/2006/relationships/hyperlink" Target="https://encode.ru/attachment.php?attachmentid=5102&amp;d=1502725544" TargetMode="External"/><Relationship Id="rId56" Type="http://schemas.openxmlformats.org/officeDocument/2006/relationships/hyperlink" Target="http://www.serenescreen.com/product/maquarium3/" TargetMode="External"/><Relationship Id="rId64" Type="http://schemas.openxmlformats.org/officeDocument/2006/relationships/printerSettings" Target="../printerSettings/printerSettings9.bin"/><Relationship Id="rId8" Type="http://schemas.openxmlformats.org/officeDocument/2006/relationships/hyperlink" Target="https://ffmpeg.org/" TargetMode="External"/><Relationship Id="rId51" Type="http://schemas.openxmlformats.org/officeDocument/2006/relationships/hyperlink" Target="https://drive.google.com/drive/folders/0B_X1BeQ2TuWibTBmVG90S0k1bVE" TargetMode="External"/><Relationship Id="rId3" Type="http://schemas.openxmlformats.org/officeDocument/2006/relationships/hyperlink" Target="http://heartofcomp.altervista.org/zcm092.zip" TargetMode="External"/><Relationship Id="rId12" Type="http://schemas.openxmlformats.org/officeDocument/2006/relationships/hyperlink" Target="http://www.nanozip.net/" TargetMode="External"/><Relationship Id="rId17" Type="http://schemas.openxmlformats.org/officeDocument/2006/relationships/hyperlink" Target="http://encode.ru/attachment.php?attachmentid=4030&amp;d=1452576196" TargetMode="External"/><Relationship Id="rId25" Type="http://schemas.openxmlformats.org/officeDocument/2006/relationships/hyperlink" Target="http://www.oreans.com/themida.php" TargetMode="External"/><Relationship Id="rId33" Type="http://schemas.openxmlformats.org/officeDocument/2006/relationships/hyperlink" Target="http://www.sofpro.com/products/pc-guard-win64" TargetMode="External"/><Relationship Id="rId38" Type="http://schemas.openxmlformats.org/officeDocument/2006/relationships/hyperlink" Target="https://bitsum.com/pecompact_trial.php" TargetMode="External"/><Relationship Id="rId46" Type="http://schemas.openxmlformats.org/officeDocument/2006/relationships/hyperlink" Target="http://soft-lab.de/JoKo/" TargetMode="External"/><Relationship Id="rId59" Type="http://schemas.openxmlformats.org/officeDocument/2006/relationships/hyperlink" Target="https://drive.google.com/file/d/0ByLIAFlgldSoMlVhdEFrTEJhczQ/view?usp=sharing" TargetMode="External"/><Relationship Id="rId67" Type="http://schemas.openxmlformats.org/officeDocument/2006/relationships/comments" Target="../comments4.xml"/><Relationship Id="rId20" Type="http://schemas.openxmlformats.org/officeDocument/2006/relationships/hyperlink" Target="ftp://ftp.sac.sk/pub/sac/pack/uharc06b.zip" TargetMode="External"/><Relationship Id="rId41" Type="http://schemas.openxmlformats.org/officeDocument/2006/relationships/hyperlink" Target="https://bitsum.com/pecompact_trial.php" TargetMode="External"/><Relationship Id="rId54" Type="http://schemas.openxmlformats.org/officeDocument/2006/relationships/hyperlink" Target="https://encode.ru/attachment.php?attachmentid=5284&amp;d=1504849543" TargetMode="External"/><Relationship Id="rId62" Type="http://schemas.openxmlformats.org/officeDocument/2006/relationships/hyperlink" Target="https://drive.google.com/file/d/0ByLIAFlgldSoWU9fclJjV1I4VW8/view?usp=sharing" TargetMode="External"/><Relationship Id="rId1" Type="http://schemas.openxmlformats.org/officeDocument/2006/relationships/hyperlink" Target="mailto:info@squeezechart.com" TargetMode="External"/><Relationship Id="rId6" Type="http://schemas.openxmlformats.org/officeDocument/2006/relationships/hyperlink" Target="http://heartofcomp.altervista.org/packet1.9.zip" TargetMode="External"/><Relationship Id="rId15" Type="http://schemas.openxmlformats.org/officeDocument/2006/relationships/hyperlink" Target="http://freearc.org/" TargetMode="External"/><Relationship Id="rId23" Type="http://schemas.openxmlformats.org/officeDocument/2006/relationships/hyperlink" Target="http://pespin.com/" TargetMode="External"/><Relationship Id="rId28" Type="http://schemas.openxmlformats.org/officeDocument/2006/relationships/hyperlink" Target="https://web.archive.org/web/20070831063728/http:/northfox.uw.hu/index.php?lang=eng&amp;id=dev" TargetMode="External"/><Relationship Id="rId36" Type="http://schemas.openxmlformats.org/officeDocument/2006/relationships/hyperlink" Target="http://pespin.com/" TargetMode="External"/><Relationship Id="rId49" Type="http://schemas.openxmlformats.org/officeDocument/2006/relationships/hyperlink" Target="https://encode.ru/attachment.php?attachmentid=5131&amp;d=1503168357" TargetMode="External"/><Relationship Id="rId57" Type="http://schemas.openxmlformats.org/officeDocument/2006/relationships/hyperlink" Target="https://drive.google.com/file/d/0ByLIAFlgldSoRHY5TU9UM2N5S2s/view?usp=sharing" TargetMode="External"/><Relationship Id="rId10" Type="http://schemas.openxmlformats.org/officeDocument/2006/relationships/hyperlink" Target="https://mpc-hc.org/" TargetMode="External"/><Relationship Id="rId31" Type="http://schemas.openxmlformats.org/officeDocument/2006/relationships/hyperlink" Target="http://www.smartpacker.nl/smartpackerpro.html" TargetMode="External"/><Relationship Id="rId44" Type="http://schemas.openxmlformats.org/officeDocument/2006/relationships/hyperlink" Target="http://www.codeforge.com/read/74201/appack.c__html" TargetMode="External"/><Relationship Id="rId52" Type="http://schemas.openxmlformats.org/officeDocument/2006/relationships/hyperlink" Target="http://www.powerarchiver.com/" TargetMode="External"/><Relationship Id="rId60" Type="http://schemas.openxmlformats.org/officeDocument/2006/relationships/hyperlink" Target="https://drive.google.com/file/d/0ByLIAFlgldSoWi1wdTZ6aVJWSzQ/view?usp=sharing" TargetMode="External"/><Relationship Id="rId65" Type="http://schemas.openxmlformats.org/officeDocument/2006/relationships/vmlDrawing" Target="../drawings/vmlDrawing4.vml"/><Relationship Id="rId4" Type="http://schemas.openxmlformats.org/officeDocument/2006/relationships/hyperlink" Target="https://desktop.telegram.org/" TargetMode="External"/><Relationship Id="rId9" Type="http://schemas.openxmlformats.org/officeDocument/2006/relationships/hyperlink" Target="https://mkvtoolnix.download/" TargetMode="External"/><Relationship Id="rId13" Type="http://schemas.openxmlformats.org/officeDocument/2006/relationships/hyperlink" Target="http://encode.ru/attachment.php?attachmentid=3392&amp;d=1423548712" TargetMode="External"/><Relationship Id="rId18" Type="http://schemas.openxmlformats.org/officeDocument/2006/relationships/hyperlink" Target="http://www.7-zip.org/" TargetMode="External"/><Relationship Id="rId39" Type="http://schemas.openxmlformats.org/officeDocument/2006/relationships/hyperlink" Target="https://bitsum.com/pecompact_trial.php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">
    <tabColor rgb="FF0CA41A"/>
  </sheetPr>
  <dimension ref="A1:B24"/>
  <sheetViews>
    <sheetView showGridLines="0" workbookViewId="0"/>
  </sheetViews>
  <sheetFormatPr baseColWidth="10" defaultColWidth="0" defaultRowHeight="0" customHeight="1" zeroHeight="1" x14ac:dyDescent="0.2"/>
  <cols>
    <col min="1" max="1" width="11.42578125" style="138" customWidth="1"/>
    <col min="2" max="2" width="133.85546875" style="138" customWidth="1"/>
    <col min="3" max="16384" width="0" style="138" hidden="1"/>
  </cols>
  <sheetData>
    <row r="1" spans="1:2" ht="27.75" x14ac:dyDescent="0.4">
      <c r="A1" s="1286"/>
      <c r="B1" s="1287" t="s">
        <v>0</v>
      </c>
    </row>
    <row r="2" spans="1:2" ht="23.25" x14ac:dyDescent="0.35">
      <c r="A2" s="1286"/>
      <c r="B2" s="1286"/>
    </row>
    <row r="3" spans="1:2" ht="27.75" x14ac:dyDescent="0.4">
      <c r="A3" s="1288" t="s">
        <v>1</v>
      </c>
      <c r="B3" s="1287" t="s">
        <v>2</v>
      </c>
    </row>
    <row r="4" spans="1:2" ht="27.75" x14ac:dyDescent="0.4">
      <c r="A4" s="1288"/>
      <c r="B4" s="1287" t="s">
        <v>3</v>
      </c>
    </row>
    <row r="5" spans="1:2" ht="27.75" x14ac:dyDescent="0.4">
      <c r="A5" s="1288" t="s">
        <v>4</v>
      </c>
      <c r="B5" s="1287" t="s">
        <v>5</v>
      </c>
    </row>
    <row r="6" spans="1:2" ht="27.75" x14ac:dyDescent="0.4">
      <c r="A6" s="1288" t="s">
        <v>6</v>
      </c>
      <c r="B6" s="1287" t="s">
        <v>7</v>
      </c>
    </row>
    <row r="7" spans="1:2" ht="27.75" x14ac:dyDescent="0.4">
      <c r="A7" s="1288" t="s">
        <v>8</v>
      </c>
      <c r="B7" s="1287" t="s">
        <v>9</v>
      </c>
    </row>
    <row r="8" spans="1:2" ht="27.75" x14ac:dyDescent="0.4">
      <c r="A8" s="1288"/>
      <c r="B8" s="1287" t="s">
        <v>10</v>
      </c>
    </row>
    <row r="9" spans="1:2" ht="27.75" x14ac:dyDescent="0.4">
      <c r="A9" s="1288" t="s">
        <v>11</v>
      </c>
      <c r="B9" s="1287" t="s">
        <v>12</v>
      </c>
    </row>
    <row r="10" spans="1:2" ht="27.75" x14ac:dyDescent="0.4">
      <c r="A10" s="1288" t="s">
        <v>13</v>
      </c>
      <c r="B10" s="1287" t="s">
        <v>14</v>
      </c>
    </row>
    <row r="11" spans="1:2" ht="27.75" x14ac:dyDescent="0.4">
      <c r="A11" s="1288" t="s">
        <v>15</v>
      </c>
      <c r="B11" s="1287" t="s">
        <v>16</v>
      </c>
    </row>
    <row r="12" spans="1:2" ht="27.75" x14ac:dyDescent="0.4">
      <c r="A12" s="1288" t="s">
        <v>17</v>
      </c>
      <c r="B12" s="1287" t="s">
        <v>18</v>
      </c>
    </row>
    <row r="13" spans="1:2" ht="27.75" x14ac:dyDescent="0.4">
      <c r="A13" s="1288" t="s">
        <v>19</v>
      </c>
      <c r="B13" s="1287" t="s">
        <v>20</v>
      </c>
    </row>
    <row r="14" spans="1:2" ht="27.75" x14ac:dyDescent="0.4">
      <c r="A14" s="1288" t="s">
        <v>21</v>
      </c>
      <c r="B14" s="1287" t="s">
        <v>22</v>
      </c>
    </row>
    <row r="15" spans="1:2" ht="27.75" x14ac:dyDescent="0.4">
      <c r="A15" s="1287"/>
      <c r="B15" s="1287" t="s">
        <v>23</v>
      </c>
    </row>
    <row r="16" spans="1:2" ht="12.75" customHeight="1" x14ac:dyDescent="0.2"/>
    <row r="17" ht="12.75" customHeight="1" x14ac:dyDescent="0.2"/>
    <row r="18" ht="12.75" customHeight="1" x14ac:dyDescent="0.2"/>
    <row r="19" ht="12.75" customHeight="1" x14ac:dyDescent="0.2"/>
    <row r="20" ht="12.75" customHeight="1" x14ac:dyDescent="0.2"/>
    <row r="21" ht="12.75" customHeight="1" x14ac:dyDescent="0.2"/>
    <row r="22" ht="12.75" customHeight="1" x14ac:dyDescent="0.2"/>
    <row r="23" ht="12.75" customHeight="1" x14ac:dyDescent="0.2"/>
    <row r="24" ht="12.75" customHeight="1" x14ac:dyDescent="0.2"/>
  </sheetData>
  <pageMargins left="0.70000000000000007" right="0.70000000000000007" top="0.78749999999999998" bottom="0.78749999999999998" header="0.51180555555555562" footer="0.51180555555555562"/>
  <pageSetup paperSize="9" firstPageNumber="0" orientation="portrait" r:id="rId1"/>
  <headerFooter alignWithMargins="0"/>
  <picture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8">
    <tabColor rgb="FFFFC000"/>
  </sheetPr>
  <dimension ref="A1:R487"/>
  <sheetViews>
    <sheetView showGridLines="0" zoomScaleNormal="100" workbookViewId="0">
      <selection activeCell="E456" sqref="E456"/>
    </sheetView>
  </sheetViews>
  <sheetFormatPr baseColWidth="10" defaultColWidth="9.140625" defaultRowHeight="12.75" x14ac:dyDescent="0.2"/>
  <cols>
    <col min="1" max="1" width="1.7109375" style="138" customWidth="1"/>
    <col min="2" max="2" width="60.7109375" style="138" customWidth="1"/>
    <col min="3" max="3" width="4.5703125" style="138" customWidth="1"/>
    <col min="4" max="4" width="12" style="138" customWidth="1"/>
    <col min="5" max="5" width="7.7109375" style="138" customWidth="1"/>
    <col min="6" max="7" width="15.42578125" style="138" customWidth="1"/>
    <col min="8" max="10" width="15.7109375" style="138" customWidth="1"/>
    <col min="11" max="12" width="15.42578125" style="138" customWidth="1"/>
    <col min="13" max="13" width="5.7109375" style="138" customWidth="1"/>
    <col min="14" max="14" width="50.7109375" style="138" customWidth="1"/>
    <col min="15" max="15" width="2.7109375" style="138" customWidth="1"/>
    <col min="16" max="16" width="6.7109375" style="138" customWidth="1"/>
    <col min="17" max="17" width="13.7109375" style="138" customWidth="1"/>
    <col min="18" max="18" width="8.140625" style="138" customWidth="1"/>
    <col min="19" max="16384" width="9.140625" style="138"/>
  </cols>
  <sheetData>
    <row r="1" spans="1:18" ht="18" customHeight="1" x14ac:dyDescent="0.2">
      <c r="A1" s="656"/>
      <c r="B1" s="143">
        <v>42996.486261574071</v>
      </c>
      <c r="C1" s="4994" t="s">
        <v>1613</v>
      </c>
      <c r="D1" s="4995"/>
      <c r="E1" s="4995"/>
      <c r="F1" s="4995"/>
      <c r="G1" s="4995"/>
      <c r="H1" s="4995"/>
      <c r="I1" s="4995"/>
      <c r="J1" s="4995"/>
      <c r="K1" s="4995"/>
      <c r="L1" s="4995"/>
      <c r="M1" s="1311"/>
      <c r="N1" s="1311"/>
      <c r="O1" s="1311"/>
      <c r="P1" s="1311"/>
      <c r="Q1" s="1311"/>
      <c r="R1" s="1311"/>
    </row>
    <row r="2" spans="1:18" ht="15" customHeight="1" x14ac:dyDescent="0.2">
      <c r="A2" s="656"/>
      <c r="B2" s="144" t="s">
        <v>1141</v>
      </c>
      <c r="C2" s="4995"/>
      <c r="D2" s="4995"/>
      <c r="E2" s="4995"/>
      <c r="F2" s="4995"/>
      <c r="G2" s="4995"/>
      <c r="H2" s="4995"/>
      <c r="I2" s="4995"/>
      <c r="J2" s="4995"/>
      <c r="K2" s="4995"/>
      <c r="L2" s="4995"/>
      <c r="M2" s="1311"/>
      <c r="N2" s="1311"/>
      <c r="O2" s="1311"/>
      <c r="P2" s="1311"/>
      <c r="Q2" s="1311"/>
      <c r="R2" s="1311"/>
    </row>
    <row r="3" spans="1:18" ht="26.25" customHeight="1" x14ac:dyDescent="0.2">
      <c r="A3" s="656"/>
      <c r="B3" s="145" t="s">
        <v>1142</v>
      </c>
      <c r="C3" s="4995"/>
      <c r="D3" s="4995"/>
      <c r="E3" s="4995"/>
      <c r="F3" s="4995"/>
      <c r="G3" s="4995"/>
      <c r="H3" s="4995"/>
      <c r="I3" s="4995"/>
      <c r="J3" s="4995"/>
      <c r="K3" s="4995"/>
      <c r="L3" s="4995"/>
      <c r="M3" s="1311"/>
      <c r="N3" s="1311"/>
      <c r="O3" s="1311"/>
      <c r="P3" s="1311"/>
      <c r="Q3" s="1311"/>
      <c r="R3" s="1311"/>
    </row>
    <row r="4" spans="1:18" ht="7.5" customHeight="1" x14ac:dyDescent="0.2">
      <c r="A4" s="656"/>
      <c r="B4" s="145"/>
      <c r="C4" s="3368"/>
      <c r="D4" s="3368"/>
      <c r="E4" s="3368"/>
      <c r="F4" s="3368"/>
      <c r="G4" s="3368"/>
      <c r="H4" s="3368"/>
      <c r="I4" s="3368"/>
      <c r="J4" s="3368"/>
      <c r="K4" s="3368"/>
      <c r="L4" s="3368"/>
      <c r="M4" s="1311"/>
      <c r="N4" s="1311"/>
      <c r="O4" s="1311"/>
      <c r="P4" s="1311"/>
      <c r="Q4" s="1311"/>
      <c r="R4" s="1311"/>
    </row>
    <row r="5" spans="1:18" ht="18" customHeight="1" x14ac:dyDescent="0.2">
      <c r="A5" s="656"/>
      <c r="B5" s="3465" t="s">
        <v>2666</v>
      </c>
      <c r="C5" s="3106"/>
      <c r="D5" s="3106"/>
      <c r="E5" s="3465" t="s">
        <v>2668</v>
      </c>
      <c r="F5" s="3106"/>
      <c r="G5" s="3106"/>
      <c r="H5" s="3106"/>
      <c r="I5" s="3106"/>
      <c r="J5" s="3106"/>
      <c r="K5" s="3106"/>
      <c r="L5" s="3106"/>
      <c r="M5" s="1311"/>
      <c r="N5" s="1311"/>
      <c r="O5" s="1311"/>
      <c r="P5" s="1311"/>
      <c r="Q5" s="1311"/>
      <c r="R5" s="1311"/>
    </row>
    <row r="6" spans="1:18" ht="18" customHeight="1" x14ac:dyDescent="0.2">
      <c r="A6" s="656"/>
      <c r="B6" s="3465" t="s">
        <v>2667</v>
      </c>
      <c r="C6" s="3106"/>
      <c r="D6" s="3106"/>
      <c r="E6" s="3465" t="s">
        <v>2669</v>
      </c>
      <c r="F6" s="3106"/>
      <c r="G6" s="3106"/>
      <c r="H6" s="3106"/>
      <c r="I6" s="3106"/>
      <c r="J6" s="3106"/>
      <c r="K6" s="3106"/>
      <c r="L6" s="3106"/>
      <c r="M6" s="1311"/>
      <c r="N6" s="1311"/>
      <c r="O6" s="1311"/>
      <c r="P6" s="1311"/>
      <c r="Q6" s="1311"/>
      <c r="R6" s="1311"/>
    </row>
    <row r="7" spans="1:18" ht="7.5" customHeight="1" x14ac:dyDescent="0.2">
      <c r="A7" s="656"/>
      <c r="B7" s="3465"/>
      <c r="C7" s="3106"/>
      <c r="D7" s="3106"/>
      <c r="E7" s="3106"/>
      <c r="F7" s="3106"/>
      <c r="G7" s="3106"/>
      <c r="H7" s="3106"/>
      <c r="I7" s="3106"/>
      <c r="J7" s="3106"/>
      <c r="K7" s="3106"/>
      <c r="L7" s="3106"/>
      <c r="M7" s="1311"/>
      <c r="N7" s="1311"/>
      <c r="O7" s="1311"/>
      <c r="P7" s="1311"/>
      <c r="Q7" s="1311"/>
      <c r="R7" s="1311"/>
    </row>
    <row r="8" spans="1:18" ht="15" customHeight="1" x14ac:dyDescent="0.25">
      <c r="A8" s="656"/>
      <c r="B8" s="3159" t="s">
        <v>2527</v>
      </c>
      <c r="C8" s="282"/>
      <c r="D8" s="4988" t="s">
        <v>1320</v>
      </c>
      <c r="E8" s="4991" t="s">
        <v>1603</v>
      </c>
      <c r="F8" s="1619" t="s">
        <v>1878</v>
      </c>
      <c r="G8" s="1619" t="s">
        <v>1882</v>
      </c>
      <c r="H8" s="1619" t="s">
        <v>1883</v>
      </c>
      <c r="I8" s="1619" t="s">
        <v>1880</v>
      </c>
      <c r="J8" s="1619" t="s">
        <v>1879</v>
      </c>
      <c r="K8" s="1552"/>
      <c r="L8" s="1551"/>
      <c r="M8" s="1311"/>
      <c r="N8" s="1311"/>
      <c r="O8" s="1311"/>
      <c r="P8" s="1311"/>
      <c r="Q8" s="1311"/>
      <c r="R8" s="1311"/>
    </row>
    <row r="9" spans="1:18" ht="25.5" customHeight="1" x14ac:dyDescent="0.2">
      <c r="A9" s="656"/>
      <c r="B9" s="4968" t="s">
        <v>2522</v>
      </c>
      <c r="C9" s="148"/>
      <c r="D9" s="4989"/>
      <c r="E9" s="4992"/>
      <c r="F9" s="1610" t="s">
        <v>1887</v>
      </c>
      <c r="G9" s="1610" t="s">
        <v>1888</v>
      </c>
      <c r="H9" s="1610" t="s">
        <v>1885</v>
      </c>
      <c r="I9" s="1610" t="s">
        <v>1881</v>
      </c>
      <c r="J9" s="1610" t="s">
        <v>1886</v>
      </c>
      <c r="K9" s="1553"/>
      <c r="L9" s="1545"/>
      <c r="M9" s="1311"/>
      <c r="N9" s="1311"/>
      <c r="O9" s="1311"/>
      <c r="P9" s="1311"/>
      <c r="Q9" s="1311"/>
      <c r="R9" s="1311"/>
    </row>
    <row r="10" spans="1:18" ht="15" customHeight="1" x14ac:dyDescent="0.2">
      <c r="A10" s="656"/>
      <c r="B10" s="4969"/>
      <c r="C10" s="148"/>
      <c r="D10" s="4989"/>
      <c r="E10" s="4992"/>
      <c r="F10" s="2797" t="s">
        <v>2471</v>
      </c>
      <c r="G10" s="2797" t="s">
        <v>2471</v>
      </c>
      <c r="H10" s="2797" t="s">
        <v>2471</v>
      </c>
      <c r="I10" s="2797" t="s">
        <v>2472</v>
      </c>
      <c r="J10" s="2797" t="s">
        <v>2472</v>
      </c>
      <c r="K10" s="1554"/>
      <c r="L10" s="1545"/>
      <c r="M10" s="1311"/>
      <c r="N10" s="1311"/>
      <c r="O10" s="1311"/>
      <c r="P10" s="1311"/>
      <c r="Q10" s="1311"/>
      <c r="R10" s="1311"/>
    </row>
    <row r="11" spans="1:18" ht="15" customHeight="1" x14ac:dyDescent="0.2">
      <c r="A11" s="656"/>
      <c r="B11" s="285" t="s">
        <v>2060</v>
      </c>
      <c r="C11" s="148"/>
      <c r="D11" s="4989"/>
      <c r="E11" s="4992"/>
      <c r="F11" s="150" t="s">
        <v>1951</v>
      </c>
      <c r="G11" s="150" t="s">
        <v>1951</v>
      </c>
      <c r="H11" s="1611" t="s">
        <v>1951</v>
      </c>
      <c r="I11" s="150" t="s">
        <v>1951</v>
      </c>
      <c r="J11" s="150" t="s">
        <v>1951</v>
      </c>
      <c r="K11" s="1554"/>
      <c r="L11" s="1545"/>
      <c r="M11" s="1311"/>
      <c r="N11" s="1311"/>
      <c r="O11" s="1311"/>
      <c r="P11" s="1311"/>
      <c r="Q11" s="1311"/>
      <c r="R11" s="1311"/>
    </row>
    <row r="12" spans="1:18" ht="15" customHeight="1" x14ac:dyDescent="0.2">
      <c r="A12" s="656"/>
      <c r="B12" s="1548" t="s">
        <v>1884</v>
      </c>
      <c r="C12" s="148"/>
      <c r="D12" s="4990"/>
      <c r="E12" s="4993"/>
      <c r="F12" s="288"/>
      <c r="G12" s="288"/>
      <c r="H12" s="288"/>
      <c r="I12" s="288"/>
      <c r="J12" s="289"/>
      <c r="K12" s="1555"/>
      <c r="L12" s="1545"/>
      <c r="M12" s="1311"/>
      <c r="N12" s="1311"/>
      <c r="O12" s="1311"/>
      <c r="P12" s="1311"/>
      <c r="Q12" s="1311"/>
      <c r="R12" s="1311"/>
    </row>
    <row r="13" spans="1:18" ht="15" hidden="1" customHeight="1" x14ac:dyDescent="0.2">
      <c r="A13" s="656"/>
      <c r="B13" s="1557"/>
      <c r="C13" s="1558"/>
      <c r="D13" s="1559"/>
      <c r="E13" s="1560"/>
      <c r="F13" s="1561">
        <f>MIN(F15:F90)</f>
        <v>405117</v>
      </c>
      <c r="G13" s="1561">
        <f>MIN(G15:G90)</f>
        <v>3039504</v>
      </c>
      <c r="H13" s="1561">
        <f>MIN(H15:H90)</f>
        <v>1316667</v>
      </c>
      <c r="I13" s="1561">
        <f>MIN(I15:I90)</f>
        <v>16603011</v>
      </c>
      <c r="J13" s="1561">
        <f>MIN(J15:J90)</f>
        <v>1069553</v>
      </c>
      <c r="K13" s="1555"/>
      <c r="L13" s="1545"/>
      <c r="M13" s="1311"/>
      <c r="N13" s="1311"/>
      <c r="O13" s="1311"/>
      <c r="P13" s="1311"/>
      <c r="Q13" s="1311"/>
      <c r="R13" s="1311"/>
    </row>
    <row r="14" spans="1:18" ht="18" customHeight="1" x14ac:dyDescent="0.2">
      <c r="A14" s="656"/>
      <c r="B14" s="157" t="s">
        <v>983</v>
      </c>
      <c r="C14" s="158"/>
      <c r="D14" s="290">
        <f t="shared" ref="D14:D54" si="0">SUM(F14/F$13,G14/G$13,H14/H$13,I14/I$13,J14/J$13)/5*100</f>
        <v>731.26692203438665</v>
      </c>
      <c r="E14" s="291" t="s">
        <v>1321</v>
      </c>
      <c r="F14" s="292">
        <v>8294471</v>
      </c>
      <c r="G14" s="162">
        <v>8294471</v>
      </c>
      <c r="H14" s="293">
        <v>6553671</v>
      </c>
      <c r="I14" s="162">
        <v>31800017</v>
      </c>
      <c r="J14" s="162">
        <v>6917237</v>
      </c>
      <c r="K14" s="1556"/>
      <c r="L14" s="1545"/>
      <c r="M14" s="1311"/>
      <c r="N14" s="1311"/>
      <c r="O14" s="1311"/>
      <c r="P14" s="1311"/>
      <c r="Q14" s="1311"/>
      <c r="R14" s="1311"/>
    </row>
    <row r="15" spans="1:18" ht="18" customHeight="1" x14ac:dyDescent="0.2">
      <c r="A15" s="656"/>
      <c r="B15" s="4756" t="s">
        <v>2800</v>
      </c>
      <c r="C15" s="3105" t="s">
        <v>40</v>
      </c>
      <c r="D15" s="290">
        <f>SUM(F15/F$13,G15/G$13,H15/H$13,I15/I$13,J15/J$13)/5*100</f>
        <v>101.08563791576925</v>
      </c>
      <c r="E15" s="164">
        <f>320.3+370+242+1296+213.7</f>
        <v>2442</v>
      </c>
      <c r="F15" s="165">
        <v>405117</v>
      </c>
      <c r="G15" s="166">
        <v>3039504</v>
      </c>
      <c r="H15" s="166">
        <v>1360809</v>
      </c>
      <c r="I15" s="172">
        <v>16603011</v>
      </c>
      <c r="J15" s="172">
        <v>1091753</v>
      </c>
      <c r="K15" s="1436"/>
      <c r="L15" s="1545"/>
      <c r="M15" s="1311"/>
      <c r="N15" s="1311"/>
      <c r="O15" s="1311"/>
      <c r="P15" s="1311"/>
      <c r="Q15" s="1311"/>
      <c r="R15" s="1311"/>
    </row>
    <row r="16" spans="1:18" ht="18" customHeight="1" x14ac:dyDescent="0.2">
      <c r="A16" s="656"/>
      <c r="B16" s="4925" t="s">
        <v>2784</v>
      </c>
      <c r="C16" s="4727" t="s">
        <v>40</v>
      </c>
      <c r="D16" s="290">
        <f>SUM(F16/F$13,G16/G$13,H16/H$13,I16/I$13,J16/J$13)/5*100</f>
        <v>102.07550158042133</v>
      </c>
      <c r="E16" s="312">
        <f>214.24+257.73+185.34+1040.36+179.47</f>
        <v>1877.14</v>
      </c>
      <c r="F16" s="177">
        <v>423003</v>
      </c>
      <c r="G16" s="395">
        <v>3052934</v>
      </c>
      <c r="H16" s="395">
        <v>1357696</v>
      </c>
      <c r="I16" s="2310">
        <v>16652368</v>
      </c>
      <c r="J16" s="2310">
        <v>1092091</v>
      </c>
      <c r="K16" s="1436"/>
      <c r="L16" s="4743"/>
      <c r="M16" s="1311"/>
      <c r="N16" s="1311"/>
      <c r="O16" s="1311"/>
      <c r="P16" s="1311"/>
      <c r="Q16" s="1311"/>
      <c r="R16" s="1311"/>
    </row>
    <row r="17" spans="1:18" ht="18" customHeight="1" x14ac:dyDescent="0.25">
      <c r="A17" s="656"/>
      <c r="B17" s="4771" t="s">
        <v>2554</v>
      </c>
      <c r="C17" s="3176" t="s">
        <v>40</v>
      </c>
      <c r="D17" s="290">
        <f t="shared" ref="D17:D25" si="1">SUM(F17/F$13,G17/G$13,H17/H$13,I17/I$13,J17/J$13)/5*100</f>
        <v>102.18876518219926</v>
      </c>
      <c r="E17" s="312">
        <f>248.29+311.99+218.56+1066.72+226.96</f>
        <v>2072.52</v>
      </c>
      <c r="F17" s="4584">
        <v>434848</v>
      </c>
      <c r="G17" s="4584">
        <v>3071336</v>
      </c>
      <c r="H17" s="4584">
        <v>1316667</v>
      </c>
      <c r="I17" s="4585">
        <v>16736896</v>
      </c>
      <c r="J17" s="4585">
        <v>1088284</v>
      </c>
      <c r="K17" s="1436"/>
      <c r="L17" s="4580"/>
      <c r="M17" s="1311"/>
      <c r="N17" s="1311"/>
      <c r="O17" s="1311"/>
      <c r="P17" s="1311"/>
      <c r="Q17" s="1311"/>
      <c r="R17" s="1311"/>
    </row>
    <row r="18" spans="1:18" ht="18" customHeight="1" x14ac:dyDescent="0.2">
      <c r="A18" s="656"/>
      <c r="B18" s="4594" t="s">
        <v>2555</v>
      </c>
      <c r="C18" s="3372" t="s">
        <v>40</v>
      </c>
      <c r="D18" s="290">
        <f t="shared" si="1"/>
        <v>102.50675438324546</v>
      </c>
      <c r="E18" s="312">
        <f>281+289.32+215.16+1261.5+213.98</f>
        <v>2260.96</v>
      </c>
      <c r="F18" s="177">
        <v>434740</v>
      </c>
      <c r="G18" s="395">
        <v>3086497</v>
      </c>
      <c r="H18" s="395">
        <v>1319641</v>
      </c>
      <c r="I18" s="2310">
        <v>16806591</v>
      </c>
      <c r="J18" s="2310">
        <v>1093334</v>
      </c>
      <c r="K18" s="1436"/>
      <c r="L18" s="4580"/>
      <c r="M18" s="1311"/>
      <c r="N18" s="1311"/>
      <c r="O18" s="1311"/>
      <c r="P18" s="1311"/>
      <c r="Q18" s="1311"/>
      <c r="R18" s="1311"/>
    </row>
    <row r="19" spans="1:18" ht="18" customHeight="1" x14ac:dyDescent="0.2">
      <c r="A19" s="656"/>
      <c r="B19" s="495" t="s">
        <v>2503</v>
      </c>
      <c r="C19" s="3373" t="s">
        <v>40</v>
      </c>
      <c r="D19" s="290">
        <f t="shared" si="1"/>
        <v>105.10416283876678</v>
      </c>
      <c r="E19" s="204">
        <f>135.58+164.84+110.51+704.87+122.57</f>
        <v>1238.3699999999999</v>
      </c>
      <c r="F19" s="1833">
        <v>463545</v>
      </c>
      <c r="G19" s="1833">
        <v>3194690</v>
      </c>
      <c r="H19" s="1833">
        <v>1329288</v>
      </c>
      <c r="I19" s="1720">
        <v>16947669</v>
      </c>
      <c r="J19" s="1720">
        <v>1101193</v>
      </c>
      <c r="K19" s="2166"/>
      <c r="L19" s="2312"/>
      <c r="M19" s="1311"/>
      <c r="N19" s="1311"/>
      <c r="O19" s="1311"/>
      <c r="P19" s="1311"/>
      <c r="Q19" s="1311"/>
      <c r="R19" s="1311"/>
    </row>
    <row r="20" spans="1:18" ht="18" customHeight="1" x14ac:dyDescent="0.2">
      <c r="A20" s="656"/>
      <c r="B20" s="2957" t="s">
        <v>2560</v>
      </c>
      <c r="C20" s="2414"/>
      <c r="D20" s="290">
        <f t="shared" si="1"/>
        <v>105.64026659061767</v>
      </c>
      <c r="E20" s="312">
        <f>131+156+112+782.7+138.8</f>
        <v>1320.5</v>
      </c>
      <c r="F20" s="319">
        <v>435623</v>
      </c>
      <c r="G20" s="319">
        <v>3117518</v>
      </c>
      <c r="H20" s="319">
        <v>1530049</v>
      </c>
      <c r="I20" s="3183">
        <v>16918181</v>
      </c>
      <c r="J20" s="3183">
        <v>1069553</v>
      </c>
      <c r="K20" s="2166"/>
      <c r="L20" s="3106"/>
      <c r="M20" s="1311"/>
      <c r="N20" s="1311"/>
      <c r="O20" s="1311"/>
      <c r="P20" s="1311"/>
      <c r="Q20" s="1311"/>
      <c r="R20" s="1311"/>
    </row>
    <row r="21" spans="1:18" ht="18" customHeight="1" x14ac:dyDescent="0.25">
      <c r="A21" s="656"/>
      <c r="B21" s="1408" t="s">
        <v>2474</v>
      </c>
      <c r="C21" s="1634" t="s">
        <v>40</v>
      </c>
      <c r="D21" s="290">
        <f t="shared" si="1"/>
        <v>106.88900404849603</v>
      </c>
      <c r="E21" s="312">
        <f>141.5+164.87+107.75+661.63+115.41</f>
        <v>1191.1600000000001</v>
      </c>
      <c r="F21" s="319">
        <v>477286</v>
      </c>
      <c r="G21" s="319">
        <v>3253908</v>
      </c>
      <c r="H21" s="319">
        <v>1342827</v>
      </c>
      <c r="I21" s="3183">
        <v>16998159</v>
      </c>
      <c r="J21" s="3183">
        <v>1125276</v>
      </c>
      <c r="K21" s="2166"/>
      <c r="L21" s="3106"/>
      <c r="M21" s="1311"/>
      <c r="N21" s="1311"/>
      <c r="O21" s="1311"/>
      <c r="P21" s="1311"/>
      <c r="Q21" s="1311"/>
      <c r="R21" s="1311"/>
    </row>
    <row r="22" spans="1:18" ht="18" customHeight="1" x14ac:dyDescent="0.2">
      <c r="A22" s="656"/>
      <c r="B22" s="4770" t="s">
        <v>2783</v>
      </c>
      <c r="C22" s="4591"/>
      <c r="D22" s="290">
        <f t="shared" si="1"/>
        <v>106.89321429052545</v>
      </c>
      <c r="E22" s="312">
        <f>138.9+156.6+117.8+1167.7+224.6</f>
        <v>1805.6</v>
      </c>
      <c r="F22" s="319">
        <v>453279</v>
      </c>
      <c r="G22" s="319">
        <v>3124281</v>
      </c>
      <c r="H22" s="319">
        <v>1551919</v>
      </c>
      <c r="I22" s="3183">
        <v>16676898</v>
      </c>
      <c r="J22" s="3183">
        <v>1085342</v>
      </c>
      <c r="K22" s="2166"/>
      <c r="L22" s="3106"/>
      <c r="M22" s="1311"/>
      <c r="N22" s="1311"/>
      <c r="O22" s="1311"/>
      <c r="P22" s="1311"/>
      <c r="Q22" s="1311"/>
      <c r="R22" s="1311"/>
    </row>
    <row r="23" spans="1:18" ht="18" customHeight="1" x14ac:dyDescent="0.2">
      <c r="A23" s="656"/>
      <c r="B23" s="2796" t="s">
        <v>2561</v>
      </c>
      <c r="C23" s="323"/>
      <c r="D23" s="290">
        <f t="shared" si="1"/>
        <v>107.22915713844678</v>
      </c>
      <c r="E23" s="312">
        <f>144.4+190+139.1+967.6+159</f>
        <v>1600.1</v>
      </c>
      <c r="F23" s="319">
        <v>454456</v>
      </c>
      <c r="G23" s="319">
        <v>3131831</v>
      </c>
      <c r="H23" s="319">
        <v>1554801</v>
      </c>
      <c r="I23" s="3030">
        <v>16782025</v>
      </c>
      <c r="J23" s="3030">
        <v>1088430</v>
      </c>
      <c r="K23" s="1436"/>
      <c r="L23" s="3031"/>
      <c r="M23" s="1311"/>
      <c r="N23" s="1311"/>
      <c r="O23" s="1311"/>
      <c r="P23" s="1311"/>
      <c r="Q23" s="1311"/>
      <c r="R23" s="1311"/>
    </row>
    <row r="24" spans="1:18" ht="18" customHeight="1" x14ac:dyDescent="0.2">
      <c r="A24" s="656"/>
      <c r="B24" s="1408" t="s">
        <v>2621</v>
      </c>
      <c r="C24" s="1569"/>
      <c r="D24" s="290">
        <f t="shared" si="1"/>
        <v>107.22915713844678</v>
      </c>
      <c r="E24" s="204">
        <f>151.3+187.8+128.8+1001.8+204.5</f>
        <v>1674.2</v>
      </c>
      <c r="F24" s="1812">
        <v>454456</v>
      </c>
      <c r="G24" s="1812">
        <v>3131831</v>
      </c>
      <c r="H24" s="1812">
        <v>1554801</v>
      </c>
      <c r="I24" s="392">
        <v>16782025</v>
      </c>
      <c r="J24" s="392">
        <v>1088430</v>
      </c>
      <c r="K24" s="2166"/>
      <c r="L24" s="2312"/>
      <c r="M24" s="1311"/>
      <c r="N24" s="1311"/>
      <c r="O24" s="1311"/>
      <c r="P24" s="1311"/>
      <c r="Q24" s="1311"/>
      <c r="R24" s="1311"/>
    </row>
    <row r="25" spans="1:18" ht="18" customHeight="1" x14ac:dyDescent="0.2">
      <c r="A25" s="656"/>
      <c r="B25" s="3370" t="s">
        <v>2562</v>
      </c>
      <c r="C25" s="2309"/>
      <c r="D25" s="290">
        <f t="shared" si="1"/>
        <v>107.73325034615749</v>
      </c>
      <c r="E25" s="204">
        <f>124.7+132.4+99.2+549.4+106.8</f>
        <v>1012.5</v>
      </c>
      <c r="F25" s="1812">
        <v>456400</v>
      </c>
      <c r="G25" s="1812">
        <v>3139317</v>
      </c>
      <c r="H25" s="1812">
        <v>1553301</v>
      </c>
      <c r="I25" s="392">
        <v>16981649</v>
      </c>
      <c r="J25" s="392">
        <v>1095980</v>
      </c>
      <c r="K25" s="2166"/>
      <c r="L25" s="2308"/>
      <c r="M25" s="1311"/>
      <c r="N25" s="1311"/>
      <c r="O25" s="1311"/>
      <c r="P25" s="1311"/>
      <c r="Q25" s="1311"/>
      <c r="R25" s="1311"/>
    </row>
    <row r="26" spans="1:18" ht="18" customHeight="1" x14ac:dyDescent="0.2">
      <c r="A26" s="656"/>
      <c r="B26" s="3038" t="s">
        <v>2563</v>
      </c>
      <c r="C26" s="1835"/>
      <c r="D26" s="290">
        <f t="shared" si="0"/>
        <v>108.19425548708304</v>
      </c>
      <c r="E26" s="312">
        <f>119.6+136.8+101.6+564.8</f>
        <v>922.8</v>
      </c>
      <c r="F26" s="319">
        <v>460238</v>
      </c>
      <c r="G26" s="319">
        <v>3149354</v>
      </c>
      <c r="H26" s="319">
        <v>1557545</v>
      </c>
      <c r="I26" s="2849">
        <v>17039169</v>
      </c>
      <c r="J26" s="2849">
        <v>1099816</v>
      </c>
      <c r="K26" s="1436"/>
      <c r="L26" s="2932"/>
      <c r="M26" s="1311"/>
      <c r="N26" s="1311"/>
      <c r="O26" s="1311"/>
      <c r="P26" s="1311"/>
      <c r="Q26" s="1311"/>
      <c r="R26" s="1311"/>
    </row>
    <row r="27" spans="1:18" ht="18" customHeight="1" x14ac:dyDescent="0.2">
      <c r="A27" s="656"/>
      <c r="B27" s="4632" t="s">
        <v>2495</v>
      </c>
      <c r="C27" s="3015" t="s">
        <v>40</v>
      </c>
      <c r="D27" s="290">
        <f t="shared" si="0"/>
        <v>110.18296390710127</v>
      </c>
      <c r="E27" s="312">
        <f>84+104.66+73.94+495.3+84.23</f>
        <v>842.13000000000011</v>
      </c>
      <c r="F27" s="319">
        <v>513496</v>
      </c>
      <c r="G27" s="319">
        <v>3262639</v>
      </c>
      <c r="H27" s="319">
        <v>1384008</v>
      </c>
      <c r="I27" s="2849">
        <v>17113831</v>
      </c>
      <c r="J27" s="2849">
        <v>1161855</v>
      </c>
      <c r="K27" s="1436"/>
      <c r="L27" s="2932"/>
      <c r="M27" s="1311"/>
      <c r="N27" s="1311"/>
      <c r="O27" s="1311"/>
      <c r="P27" s="1311"/>
      <c r="Q27" s="1311"/>
      <c r="R27" s="1311"/>
    </row>
    <row r="28" spans="1:18" ht="18" customHeight="1" x14ac:dyDescent="0.25">
      <c r="A28" s="656"/>
      <c r="B28" s="1688" t="s">
        <v>2469</v>
      </c>
      <c r="C28" s="3050" t="s">
        <v>40</v>
      </c>
      <c r="D28" s="290">
        <f t="shared" si="0"/>
        <v>113.89017862400075</v>
      </c>
      <c r="E28" s="312">
        <f xml:space="preserve"> 886.18+1125.44+827.72+552.13+113.05</f>
        <v>3504.5200000000004</v>
      </c>
      <c r="F28" s="319">
        <v>582847</v>
      </c>
      <c r="G28" s="319">
        <v>3496699</v>
      </c>
      <c r="H28" s="319">
        <v>1371624</v>
      </c>
      <c r="I28" s="2849">
        <v>16883833</v>
      </c>
      <c r="J28" s="2849">
        <v>1119528</v>
      </c>
      <c r="K28" s="1436"/>
      <c r="L28" s="2932"/>
      <c r="M28" s="1311"/>
      <c r="N28" s="1311"/>
      <c r="O28" s="1311"/>
      <c r="P28" s="1311"/>
      <c r="Q28" s="1311"/>
      <c r="R28" s="1311"/>
    </row>
    <row r="29" spans="1:18" ht="18" customHeight="1" x14ac:dyDescent="0.25">
      <c r="A29" s="656"/>
      <c r="B29" s="3023" t="s">
        <v>2470</v>
      </c>
      <c r="C29" s="3040" t="s">
        <v>40</v>
      </c>
      <c r="D29" s="290">
        <f t="shared" si="0"/>
        <v>114.74064610305929</v>
      </c>
      <c r="E29" s="312">
        <f>915.96+970.96+671.49+718.92+106.27</f>
        <v>3383.6</v>
      </c>
      <c r="F29" s="319">
        <v>584310</v>
      </c>
      <c r="G29" s="319">
        <v>3528000</v>
      </c>
      <c r="H29" s="319">
        <v>1393159</v>
      </c>
      <c r="I29" s="2306">
        <v>16998161</v>
      </c>
      <c r="J29" s="2306">
        <v>1125274</v>
      </c>
      <c r="K29" s="2166"/>
      <c r="L29" s="2780"/>
      <c r="M29" s="1311"/>
      <c r="N29" s="1311"/>
      <c r="O29" s="1311"/>
      <c r="P29" s="1311"/>
      <c r="Q29" s="1311"/>
      <c r="R29" s="1311"/>
    </row>
    <row r="30" spans="1:18" ht="18" customHeight="1" x14ac:dyDescent="0.25">
      <c r="A30" s="656"/>
      <c r="B30" s="1375" t="s">
        <v>1382</v>
      </c>
      <c r="C30" s="1865" t="s">
        <v>40</v>
      </c>
      <c r="D30" s="290">
        <f t="shared" si="0"/>
        <v>115.48732155072692</v>
      </c>
      <c r="E30" s="312">
        <f>881.64+1217.47+854.21+488.56+79.44</f>
        <v>3521.32</v>
      </c>
      <c r="F30" s="1812">
        <v>592160</v>
      </c>
      <c r="G30" s="1812">
        <v>3517091</v>
      </c>
      <c r="H30" s="1812">
        <v>1402769</v>
      </c>
      <c r="I30" s="392">
        <v>17012348</v>
      </c>
      <c r="J30" s="392">
        <v>1139598</v>
      </c>
      <c r="K30" s="2166"/>
      <c r="L30" s="2847"/>
      <c r="M30" s="1311"/>
      <c r="N30" s="1311"/>
      <c r="O30" s="1311"/>
      <c r="P30" s="1311"/>
      <c r="Q30" s="1311"/>
      <c r="R30" s="1311"/>
    </row>
    <row r="31" spans="1:18" ht="18" customHeight="1" x14ac:dyDescent="0.2">
      <c r="A31" s="656"/>
      <c r="B31" s="3371" t="s">
        <v>2250</v>
      </c>
      <c r="C31" s="1835" t="s">
        <v>40</v>
      </c>
      <c r="D31" s="290">
        <f t="shared" si="0"/>
        <v>118.4634667751092</v>
      </c>
      <c r="E31" s="312">
        <f>6.3+27+13.5+113.5+15.25</f>
        <v>175.55</v>
      </c>
      <c r="F31" s="177">
        <v>505366</v>
      </c>
      <c r="G31" s="395">
        <v>3463160</v>
      </c>
      <c r="H31" s="395">
        <v>1662301</v>
      </c>
      <c r="I31" s="2310">
        <v>18056938</v>
      </c>
      <c r="J31" s="2310">
        <v>1268764</v>
      </c>
      <c r="K31" s="2166"/>
      <c r="L31" s="2780"/>
      <c r="M31" s="1311"/>
      <c r="N31" s="1311"/>
      <c r="O31" s="1311"/>
      <c r="P31" s="1311"/>
      <c r="Q31" s="1311"/>
      <c r="R31" s="1311"/>
    </row>
    <row r="32" spans="1:18" ht="18" customHeight="1" x14ac:dyDescent="0.2">
      <c r="A32" s="656"/>
      <c r="B32" s="500" t="s">
        <v>2064</v>
      </c>
      <c r="C32" s="1835" t="s">
        <v>40</v>
      </c>
      <c r="D32" s="290">
        <f t="shared" si="0"/>
        <v>118.70753654826952</v>
      </c>
      <c r="E32" s="312">
        <f>7.4+34.5+15.4+151.8+17.4</f>
        <v>226.50000000000003</v>
      </c>
      <c r="F32" s="1703">
        <v>505365</v>
      </c>
      <c r="G32" s="1703">
        <v>3463159</v>
      </c>
      <c r="H32" s="1703">
        <v>1689462</v>
      </c>
      <c r="I32" s="1720">
        <v>17983216</v>
      </c>
      <c r="J32" s="1720">
        <v>1264505</v>
      </c>
      <c r="K32" s="1436"/>
      <c r="L32" s="1883"/>
      <c r="M32" s="1311"/>
      <c r="N32" s="1311"/>
      <c r="O32" s="1311"/>
      <c r="P32" s="1311"/>
      <c r="Q32" s="1311"/>
      <c r="R32" s="1311"/>
    </row>
    <row r="33" spans="1:18" ht="18" customHeight="1" x14ac:dyDescent="0.25">
      <c r="A33" s="656"/>
      <c r="B33" s="497" t="s">
        <v>748</v>
      </c>
      <c r="C33" s="1865" t="s">
        <v>40</v>
      </c>
      <c r="D33" s="290">
        <f t="shared" si="0"/>
        <v>120.11872112873463</v>
      </c>
      <c r="E33" s="312">
        <f>95.12+122.17+92.53+304.41+49.94</f>
        <v>664.17000000000007</v>
      </c>
      <c r="F33" s="177">
        <v>623974</v>
      </c>
      <c r="G33" s="395">
        <v>3696256</v>
      </c>
      <c r="H33" s="395">
        <v>1479865</v>
      </c>
      <c r="I33" s="1563">
        <v>17166512</v>
      </c>
      <c r="J33" s="1563">
        <v>1167679</v>
      </c>
      <c r="K33" s="1436"/>
      <c r="L33" s="1810"/>
      <c r="M33" s="1311"/>
      <c r="N33" s="1311"/>
      <c r="O33" s="1311"/>
      <c r="P33" s="1311"/>
      <c r="Q33" s="1311"/>
      <c r="R33" s="1311"/>
    </row>
    <row r="34" spans="1:18" ht="18" customHeight="1" x14ac:dyDescent="0.2">
      <c r="A34" s="656"/>
      <c r="B34" s="3023" t="s">
        <v>2063</v>
      </c>
      <c r="C34" s="1569" t="s">
        <v>40</v>
      </c>
      <c r="D34" s="290">
        <f t="shared" si="0"/>
        <v>122.30718681412598</v>
      </c>
      <c r="E34" s="204">
        <f>6.9+31.9+17.2+213.5+17.2</f>
        <v>286.7</v>
      </c>
      <c r="F34" s="1833">
        <v>505365</v>
      </c>
      <c r="G34" s="1833">
        <v>3487171</v>
      </c>
      <c r="H34" s="1833">
        <v>1828219</v>
      </c>
      <c r="I34" s="1720">
        <v>17987555</v>
      </c>
      <c r="J34" s="1720">
        <v>1335562</v>
      </c>
      <c r="K34" s="1436"/>
      <c r="L34" s="1709"/>
      <c r="M34" s="1311"/>
      <c r="N34" s="1311"/>
      <c r="O34" s="1311"/>
      <c r="P34" s="1311"/>
      <c r="Q34" s="1311"/>
      <c r="R34" s="1311"/>
    </row>
    <row r="35" spans="1:18" ht="18" customHeight="1" x14ac:dyDescent="0.2">
      <c r="A35" s="2311"/>
      <c r="B35" s="525" t="s">
        <v>1978</v>
      </c>
      <c r="C35" s="3041" t="s">
        <v>40</v>
      </c>
      <c r="D35" s="290">
        <f t="shared" si="0"/>
        <v>126.73358228840594</v>
      </c>
      <c r="E35" s="204">
        <f>10.9+44.3+25+141.6+17.2</f>
        <v>238.99999999999997</v>
      </c>
      <c r="F35" s="1812">
        <v>568808</v>
      </c>
      <c r="G35" s="1812">
        <v>3605726</v>
      </c>
      <c r="H35" s="1812">
        <v>1862012</v>
      </c>
      <c r="I35" s="392">
        <v>18419406</v>
      </c>
      <c r="J35" s="392">
        <v>1307791</v>
      </c>
      <c r="K35" s="2166"/>
      <c r="L35" s="2163"/>
      <c r="M35" s="1311"/>
      <c r="N35" s="1311"/>
      <c r="O35" s="1311"/>
      <c r="P35" s="1311"/>
      <c r="Q35" s="1311"/>
      <c r="R35" s="1311"/>
    </row>
    <row r="36" spans="1:18" ht="18" customHeight="1" x14ac:dyDescent="0.2">
      <c r="A36" s="656"/>
      <c r="B36" s="500" t="s">
        <v>2061</v>
      </c>
      <c r="C36" s="201" t="s">
        <v>40</v>
      </c>
      <c r="D36" s="290">
        <f t="shared" si="0"/>
        <v>126.74753320677534</v>
      </c>
      <c r="E36" s="312">
        <f>16.7+47.8+19.8+169.4+28.3+118</f>
        <v>400</v>
      </c>
      <c r="F36" s="177">
        <v>534686</v>
      </c>
      <c r="G36" s="395">
        <v>3641378</v>
      </c>
      <c r="H36" s="395">
        <v>1886465</v>
      </c>
      <c r="I36" s="1563">
        <v>18582259</v>
      </c>
      <c r="J36" s="1563">
        <v>1355723</v>
      </c>
      <c r="K36" s="1436"/>
      <c r="L36" s="1697"/>
      <c r="M36" s="1311"/>
      <c r="N36" s="1311"/>
      <c r="O36" s="1311"/>
      <c r="P36" s="1311"/>
      <c r="Q36" s="1311"/>
      <c r="R36" s="1311"/>
    </row>
    <row r="37" spans="1:18" ht="18" customHeight="1" x14ac:dyDescent="0.25">
      <c r="A37" s="656"/>
      <c r="B37" s="1788" t="s">
        <v>2564</v>
      </c>
      <c r="C37" s="1634"/>
      <c r="D37" s="290">
        <f t="shared" si="0"/>
        <v>128.07572454695941</v>
      </c>
      <c r="E37" s="312">
        <f>106.8+131.7+94.6+523.2+108.7</f>
        <v>965.00000000000011</v>
      </c>
      <c r="F37" s="1825">
        <v>653381</v>
      </c>
      <c r="G37" s="1825">
        <v>3863143</v>
      </c>
      <c r="H37" s="1825">
        <v>1901010</v>
      </c>
      <c r="I37" s="1478">
        <v>17219639</v>
      </c>
      <c r="J37" s="1478">
        <v>1111312</v>
      </c>
      <c r="K37" s="1436"/>
      <c r="L37" s="1663"/>
      <c r="M37" s="1311"/>
      <c r="N37" s="1311"/>
      <c r="O37" s="1311"/>
      <c r="P37" s="1311"/>
      <c r="Q37" s="1311"/>
      <c r="R37" s="1311"/>
    </row>
    <row r="38" spans="1:18" ht="18" customHeight="1" x14ac:dyDescent="0.25">
      <c r="A38" s="656"/>
      <c r="B38" s="1788" t="s">
        <v>2565</v>
      </c>
      <c r="C38" s="294"/>
      <c r="D38" s="290">
        <f t="shared" si="0"/>
        <v>128.07648404043803</v>
      </c>
      <c r="E38" s="312">
        <f>164+203.9+148.5+507.3+115.6</f>
        <v>1139.3</v>
      </c>
      <c r="F38" s="1812">
        <v>653381</v>
      </c>
      <c r="G38" s="1812">
        <v>3863143</v>
      </c>
      <c r="H38" s="1812">
        <v>1901060</v>
      </c>
      <c r="I38" s="392">
        <v>17219639</v>
      </c>
      <c r="J38" s="392">
        <v>1111312</v>
      </c>
      <c r="K38" s="1436"/>
      <c r="L38" s="1809"/>
      <c r="M38" s="1311"/>
      <c r="N38" s="1311"/>
      <c r="O38" s="1311"/>
      <c r="P38" s="1311"/>
      <c r="Q38" s="1311"/>
      <c r="R38" s="1311"/>
    </row>
    <row r="39" spans="1:18" ht="18" customHeight="1" x14ac:dyDescent="0.2">
      <c r="A39" s="656"/>
      <c r="B39" s="497" t="s">
        <v>1979</v>
      </c>
      <c r="C39" s="2320" t="s">
        <v>40</v>
      </c>
      <c r="D39" s="290">
        <f t="shared" si="0"/>
        <v>129.38491066042513</v>
      </c>
      <c r="E39" s="312">
        <f>10.6+47.6+28.07+142.9+18.8</f>
        <v>247.97000000000003</v>
      </c>
      <c r="F39" s="1812">
        <v>581264</v>
      </c>
      <c r="G39" s="1812">
        <v>3660169</v>
      </c>
      <c r="H39" s="1812">
        <v>1891179</v>
      </c>
      <c r="I39" s="392">
        <v>18600161</v>
      </c>
      <c r="J39" s="392">
        <v>1362198</v>
      </c>
      <c r="K39" s="1436"/>
      <c r="L39" s="1861"/>
      <c r="M39" s="1311"/>
      <c r="N39" s="1311"/>
      <c r="O39" s="1311"/>
      <c r="P39" s="1311"/>
      <c r="Q39" s="1311"/>
      <c r="R39" s="1311"/>
    </row>
    <row r="40" spans="1:18" ht="18" customHeight="1" x14ac:dyDescent="0.2">
      <c r="A40" s="656"/>
      <c r="B40" s="1408" t="s">
        <v>1968</v>
      </c>
      <c r="C40" s="323" t="s">
        <v>40</v>
      </c>
      <c r="D40" s="290">
        <f t="shared" si="0"/>
        <v>129.85633307110285</v>
      </c>
      <c r="E40" s="312">
        <f>5.7+23.8+14+125.2+15.4</f>
        <v>184.1</v>
      </c>
      <c r="F40" s="1812">
        <v>567947</v>
      </c>
      <c r="G40" s="1812">
        <v>3577613</v>
      </c>
      <c r="H40" s="1812">
        <v>1905226</v>
      </c>
      <c r="I40" s="392">
        <v>18153375</v>
      </c>
      <c r="J40" s="392">
        <v>1468988</v>
      </c>
      <c r="K40" s="1436"/>
      <c r="L40" s="1809"/>
      <c r="M40" s="1311"/>
      <c r="N40" s="1311"/>
      <c r="O40" s="1311"/>
      <c r="P40" s="1311"/>
      <c r="Q40" s="1311"/>
      <c r="R40" s="1311"/>
    </row>
    <row r="41" spans="1:18" ht="18" customHeight="1" x14ac:dyDescent="0.2">
      <c r="A41" s="656"/>
      <c r="B41" s="500" t="s">
        <v>1963</v>
      </c>
      <c r="C41" s="323" t="s">
        <v>40</v>
      </c>
      <c r="D41" s="290">
        <f t="shared" si="0"/>
        <v>130.85855874698947</v>
      </c>
      <c r="E41" s="164">
        <f>6.1+29.4+17.9+157.9+20.9</f>
        <v>232.20000000000002</v>
      </c>
      <c r="F41" s="177">
        <v>568929</v>
      </c>
      <c r="G41" s="295">
        <v>3605385</v>
      </c>
      <c r="H41" s="295">
        <v>1920930</v>
      </c>
      <c r="I41" s="296">
        <v>18420235</v>
      </c>
      <c r="J41" s="296">
        <v>1480272</v>
      </c>
      <c r="K41" s="1436"/>
      <c r="L41" s="1545"/>
      <c r="M41" s="1311"/>
      <c r="N41" s="1311"/>
      <c r="O41" s="1311"/>
      <c r="P41" s="1311"/>
      <c r="Q41" s="1311"/>
      <c r="R41" s="1311"/>
    </row>
    <row r="42" spans="1:18" ht="18" customHeight="1" x14ac:dyDescent="0.2">
      <c r="A42" s="656"/>
      <c r="B42" s="495" t="s">
        <v>2081</v>
      </c>
      <c r="C42" s="323" t="s">
        <v>40</v>
      </c>
      <c r="D42" s="290">
        <f t="shared" si="0"/>
        <v>134.32142311140925</v>
      </c>
      <c r="E42" s="164">
        <f>2.9+10.4+5.4+35.06+4.06</f>
        <v>57.820000000000007</v>
      </c>
      <c r="F42" s="298">
        <v>742771</v>
      </c>
      <c r="G42" s="299">
        <v>3850992</v>
      </c>
      <c r="H42" s="299">
        <v>1517292</v>
      </c>
      <c r="I42" s="300">
        <v>20828949</v>
      </c>
      <c r="J42" s="300">
        <v>1292786</v>
      </c>
      <c r="K42" s="1436"/>
      <c r="L42" s="1545"/>
      <c r="M42" s="1311"/>
      <c r="N42" s="1311"/>
      <c r="O42" s="1311"/>
      <c r="P42" s="1311"/>
      <c r="Q42" s="1311"/>
      <c r="R42" s="1311"/>
    </row>
    <row r="43" spans="1:18" ht="18" customHeight="1" x14ac:dyDescent="0.2">
      <c r="A43" s="656"/>
      <c r="B43" s="494" t="s">
        <v>1974</v>
      </c>
      <c r="C43" s="1567" t="s">
        <v>40</v>
      </c>
      <c r="D43" s="1594">
        <f t="shared" si="0"/>
        <v>135.21229016091672</v>
      </c>
      <c r="E43" s="312">
        <f>6+24.4+15.3+148.6+18.3</f>
        <v>212.60000000000002</v>
      </c>
      <c r="F43" s="174">
        <v>568929</v>
      </c>
      <c r="G43" s="1568">
        <v>3597416</v>
      </c>
      <c r="H43" s="395">
        <v>1885135</v>
      </c>
      <c r="I43" s="1565">
        <v>18426777</v>
      </c>
      <c r="J43" s="1565">
        <v>1744559</v>
      </c>
      <c r="K43" s="1436"/>
      <c r="L43" s="1681"/>
      <c r="M43" s="1311"/>
      <c r="N43" s="1311"/>
      <c r="O43" s="1311"/>
      <c r="P43" s="1311"/>
      <c r="Q43" s="1311"/>
      <c r="R43" s="1311"/>
    </row>
    <row r="44" spans="1:18" ht="18" customHeight="1" x14ac:dyDescent="0.2">
      <c r="A44" s="656"/>
      <c r="B44" s="1408" t="s">
        <v>1954</v>
      </c>
      <c r="C44" s="1596"/>
      <c r="D44" s="1594">
        <f t="shared" si="0"/>
        <v>135.4096948844284</v>
      </c>
      <c r="E44" s="312">
        <f>873.78+2933.14+2218.76+14203.34+2964.73</f>
        <v>23193.75</v>
      </c>
      <c r="F44" s="174">
        <v>454640</v>
      </c>
      <c r="G44" s="1568">
        <v>3499611</v>
      </c>
      <c r="H44" s="1826">
        <v>2734771</v>
      </c>
      <c r="I44" s="1550">
        <v>16986075</v>
      </c>
      <c r="J44" s="1550">
        <v>1493901</v>
      </c>
      <c r="K44" s="1436"/>
      <c r="L44" s="1592"/>
      <c r="M44" s="1311"/>
      <c r="N44" s="1311"/>
      <c r="O44" s="1311"/>
      <c r="P44" s="1311"/>
      <c r="Q44" s="1311"/>
      <c r="R44" s="1311"/>
    </row>
    <row r="45" spans="1:18" ht="18" customHeight="1" x14ac:dyDescent="0.2">
      <c r="A45" s="656"/>
      <c r="B45" s="1408" t="s">
        <v>1962</v>
      </c>
      <c r="C45" s="1567" t="s">
        <v>40</v>
      </c>
      <c r="D45" s="290">
        <f t="shared" si="0"/>
        <v>137.60349865737004</v>
      </c>
      <c r="E45" s="312">
        <f>7.7+34.2+20.8+158.4+24</f>
        <v>245.10000000000002</v>
      </c>
      <c r="F45" s="174">
        <v>579679</v>
      </c>
      <c r="G45" s="319">
        <v>3634767</v>
      </c>
      <c r="H45" s="1821">
        <v>1927831</v>
      </c>
      <c r="I45" s="1565">
        <v>18343868</v>
      </c>
      <c r="J45" s="1565">
        <v>1801569</v>
      </c>
      <c r="K45" s="1436"/>
      <c r="L45" s="1628"/>
      <c r="M45" s="1311"/>
      <c r="N45" s="1311"/>
      <c r="O45" s="1311"/>
      <c r="P45" s="1311"/>
      <c r="Q45" s="1311"/>
      <c r="R45" s="1311"/>
    </row>
    <row r="46" spans="1:18" ht="18" customHeight="1" x14ac:dyDescent="0.2">
      <c r="A46" s="656"/>
      <c r="B46" s="1408" t="s">
        <v>1956</v>
      </c>
      <c r="C46" s="1596"/>
      <c r="D46" s="290">
        <f t="shared" si="0"/>
        <v>138.47301858071125</v>
      </c>
      <c r="E46" s="312">
        <f>30.25+84.88+0+460.05+84.73</f>
        <v>659.91000000000008</v>
      </c>
      <c r="F46" s="174">
        <v>611852</v>
      </c>
      <c r="G46" s="1568">
        <v>3753710</v>
      </c>
      <c r="H46" s="1826">
        <v>2107671</v>
      </c>
      <c r="I46" s="1550">
        <v>17928249</v>
      </c>
      <c r="J46" s="1550">
        <v>1601961</v>
      </c>
      <c r="K46" s="1436"/>
      <c r="L46" s="1592"/>
      <c r="M46" s="1311"/>
      <c r="N46" s="1311"/>
      <c r="O46" s="1311"/>
      <c r="P46" s="1311"/>
      <c r="Q46" s="1311"/>
      <c r="R46" s="1311"/>
    </row>
    <row r="47" spans="1:18" ht="18" customHeight="1" x14ac:dyDescent="0.2">
      <c r="A47" s="656"/>
      <c r="B47" s="500" t="s">
        <v>1964</v>
      </c>
      <c r="C47" s="1569" t="s">
        <v>40</v>
      </c>
      <c r="D47" s="290">
        <f t="shared" si="0"/>
        <v>138.77951471579433</v>
      </c>
      <c r="E47" s="312">
        <f>7+38.8+20.9+186.4+24.2</f>
        <v>277.3</v>
      </c>
      <c r="F47" s="174">
        <v>584093</v>
      </c>
      <c r="G47" s="1823">
        <v>3661091</v>
      </c>
      <c r="H47" s="1824">
        <v>1948561</v>
      </c>
      <c r="I47" s="1655">
        <v>18582520</v>
      </c>
      <c r="J47" s="1655">
        <v>1811330</v>
      </c>
      <c r="K47" s="1436"/>
      <c r="L47" s="1653"/>
      <c r="M47" s="1311"/>
      <c r="N47" s="1311"/>
      <c r="O47" s="1311"/>
      <c r="P47" s="1311"/>
      <c r="Q47" s="1311"/>
      <c r="R47" s="1311"/>
    </row>
    <row r="48" spans="1:18" ht="18" customHeight="1" x14ac:dyDescent="0.2">
      <c r="A48" s="656"/>
      <c r="B48" s="500" t="s">
        <v>2065</v>
      </c>
      <c r="C48" s="1595"/>
      <c r="D48" s="290">
        <f t="shared" si="0"/>
        <v>140.64004633218775</v>
      </c>
      <c r="E48" s="312">
        <f>3.9+8.5+4.2+7.42+1.79</f>
        <v>25.810000000000002</v>
      </c>
      <c r="F48" s="174">
        <v>891289</v>
      </c>
      <c r="G48" s="1651">
        <v>3954823</v>
      </c>
      <c r="H48" s="1821">
        <v>1605890</v>
      </c>
      <c r="I48" s="1649">
        <v>18693005</v>
      </c>
      <c r="J48" s="1649">
        <v>1267677</v>
      </c>
      <c r="K48" s="1436"/>
      <c r="L48" s="1653"/>
      <c r="M48" s="1311"/>
      <c r="N48" s="1311"/>
      <c r="O48" s="1311"/>
      <c r="P48" s="1311"/>
      <c r="Q48" s="1311"/>
      <c r="R48" s="1311"/>
    </row>
    <row r="49" spans="1:18" ht="18" customHeight="1" x14ac:dyDescent="0.2">
      <c r="A49" s="656"/>
      <c r="B49" s="3117" t="s">
        <v>2556</v>
      </c>
      <c r="C49" s="1567"/>
      <c r="D49" s="290">
        <f t="shared" si="0"/>
        <v>143.61094024128985</v>
      </c>
      <c r="E49" s="312">
        <f>33.46+20.85+16.6+59.38+28.25</f>
        <v>158.54</v>
      </c>
      <c r="F49" s="174">
        <v>781148</v>
      </c>
      <c r="G49" s="1568">
        <v>4145217</v>
      </c>
      <c r="H49" s="1826">
        <v>1711870</v>
      </c>
      <c r="I49" s="1550">
        <v>18170607</v>
      </c>
      <c r="J49" s="1550">
        <v>1597904</v>
      </c>
      <c r="K49" s="1436"/>
      <c r="L49" s="1592"/>
      <c r="M49" s="1311"/>
      <c r="N49" s="1311"/>
      <c r="O49" s="1311"/>
      <c r="P49" s="1311"/>
      <c r="Q49" s="1311"/>
      <c r="R49" s="1311"/>
    </row>
    <row r="50" spans="1:18" ht="18" customHeight="1" x14ac:dyDescent="0.2">
      <c r="A50" s="656"/>
      <c r="B50" s="1408" t="s">
        <v>1906</v>
      </c>
      <c r="C50" s="1596"/>
      <c r="D50" s="1594">
        <f t="shared" si="0"/>
        <v>144.88038551069724</v>
      </c>
      <c r="E50" s="312">
        <f>2.69+10.43+5.09+57.86+6.18</f>
        <v>82.25</v>
      </c>
      <c r="F50" s="174">
        <v>640836</v>
      </c>
      <c r="G50" s="1819">
        <v>3745057</v>
      </c>
      <c r="H50" s="1820">
        <v>2403863</v>
      </c>
      <c r="I50" s="1658">
        <v>18491460</v>
      </c>
      <c r="J50" s="1658">
        <v>1594252</v>
      </c>
      <c r="K50" s="1436"/>
      <c r="L50" s="1656"/>
      <c r="M50" s="1311"/>
      <c r="N50" s="1311"/>
      <c r="O50" s="1311"/>
      <c r="P50" s="1311"/>
      <c r="Q50" s="1311"/>
      <c r="R50" s="1311"/>
    </row>
    <row r="51" spans="1:18" ht="18" customHeight="1" x14ac:dyDescent="0.2">
      <c r="A51" s="656"/>
      <c r="B51" s="1408" t="s">
        <v>1905</v>
      </c>
      <c r="C51" s="1596"/>
      <c r="D51" s="1594">
        <f t="shared" si="0"/>
        <v>145.56522069577761</v>
      </c>
      <c r="E51" s="312">
        <f>2.89+10.61+5.06+58.85+6.2</f>
        <v>83.61</v>
      </c>
      <c r="F51" s="174">
        <v>647663</v>
      </c>
      <c r="G51" s="1822">
        <v>3751795</v>
      </c>
      <c r="H51" s="1820">
        <v>2412334</v>
      </c>
      <c r="I51" s="1657">
        <v>18513615</v>
      </c>
      <c r="J51" s="1657">
        <v>1602172</v>
      </c>
      <c r="K51" s="1436"/>
      <c r="L51" s="1656"/>
      <c r="M51" s="1311"/>
      <c r="N51" s="1311"/>
      <c r="O51" s="1311"/>
      <c r="P51" s="1311"/>
      <c r="Q51" s="1311"/>
      <c r="R51" s="1311"/>
    </row>
    <row r="52" spans="1:18" ht="18" customHeight="1" x14ac:dyDescent="0.25">
      <c r="A52" s="656"/>
      <c r="B52" s="1788" t="s">
        <v>2566</v>
      </c>
      <c r="C52" s="1696"/>
      <c r="D52" s="290">
        <f t="shared" si="0"/>
        <v>146.85272075346839</v>
      </c>
      <c r="E52" s="312">
        <f>48.5+66.5+62.9+420.1+75.6</f>
        <v>673.6</v>
      </c>
      <c r="F52" s="174">
        <v>902588</v>
      </c>
      <c r="G52" s="1568">
        <v>4531506</v>
      </c>
      <c r="H52" s="304">
        <v>2067796</v>
      </c>
      <c r="I52" s="1550">
        <v>17319025</v>
      </c>
      <c r="J52" s="1550">
        <v>1080456</v>
      </c>
      <c r="K52" s="1436"/>
      <c r="L52" s="1592"/>
      <c r="M52" s="1311"/>
      <c r="N52" s="1311"/>
      <c r="O52" s="1311"/>
      <c r="P52" s="1311"/>
      <c r="Q52" s="1311"/>
      <c r="R52" s="1311"/>
    </row>
    <row r="53" spans="1:18" ht="18" customHeight="1" x14ac:dyDescent="0.2">
      <c r="A53" s="656"/>
      <c r="B53" s="2497" t="s">
        <v>2248</v>
      </c>
      <c r="C53" s="1567" t="s">
        <v>40</v>
      </c>
      <c r="D53" s="290">
        <f t="shared" si="0"/>
        <v>149.70308363999521</v>
      </c>
      <c r="E53" s="312">
        <f>2.8+4.8+1.4+18.2+4.5</f>
        <v>31.7</v>
      </c>
      <c r="F53" s="174">
        <v>885678</v>
      </c>
      <c r="G53" s="1568">
        <v>3416574</v>
      </c>
      <c r="H53" s="1818">
        <v>2002414</v>
      </c>
      <c r="I53" s="1550">
        <v>18854386</v>
      </c>
      <c r="J53" s="1550">
        <v>1624062</v>
      </c>
      <c r="K53" s="1436"/>
      <c r="L53" s="1592"/>
      <c r="M53" s="1311"/>
      <c r="N53" s="1311"/>
      <c r="O53" s="1311"/>
      <c r="P53" s="1311"/>
      <c r="Q53" s="1311"/>
      <c r="R53" s="1311"/>
    </row>
    <row r="54" spans="1:18" ht="18" customHeight="1" x14ac:dyDescent="0.2">
      <c r="A54" s="656"/>
      <c r="B54" s="1408" t="s">
        <v>1994</v>
      </c>
      <c r="C54" s="1567" t="s">
        <v>40</v>
      </c>
      <c r="D54" s="290">
        <f t="shared" si="0"/>
        <v>149.99083400672941</v>
      </c>
      <c r="E54" s="312">
        <f>2.7+6.8+1.9+22.5+6.1</f>
        <v>40</v>
      </c>
      <c r="F54" s="174">
        <v>885880</v>
      </c>
      <c r="G54" s="1648">
        <v>3414228</v>
      </c>
      <c r="H54" s="1827">
        <v>2008990</v>
      </c>
      <c r="I54" s="1649">
        <v>18865914</v>
      </c>
      <c r="J54" s="1649">
        <v>1633658</v>
      </c>
      <c r="K54" s="1436"/>
      <c r="L54" s="1641"/>
      <c r="M54" s="1311"/>
      <c r="N54" s="1311"/>
      <c r="O54" s="1311"/>
      <c r="P54" s="1311"/>
      <c r="Q54" s="1311"/>
      <c r="R54" s="1311"/>
    </row>
    <row r="55" spans="1:18" ht="18" customHeight="1" x14ac:dyDescent="0.2">
      <c r="A55" s="656"/>
      <c r="B55" s="495" t="s">
        <v>1958</v>
      </c>
      <c r="C55" s="331" t="s">
        <v>40</v>
      </c>
      <c r="D55" s="290">
        <f t="shared" ref="D55:D65" si="2">SUM(F55/F$13,G55/G$13,H55/H$13,I55/I$13,J55/J$13)/5*100</f>
        <v>155.33247612245168</v>
      </c>
      <c r="E55" s="204">
        <f>97.4+130.85+48.33+471.29+84.14</f>
        <v>832.01</v>
      </c>
      <c r="F55" s="174">
        <v>802072</v>
      </c>
      <c r="G55" s="2304">
        <v>3612452</v>
      </c>
      <c r="H55" s="2305">
        <v>2035852</v>
      </c>
      <c r="I55" s="2306">
        <v>20663116</v>
      </c>
      <c r="J55" s="2306">
        <v>1933232</v>
      </c>
      <c r="K55" s="2166"/>
      <c r="L55" s="2303"/>
      <c r="M55" s="1311"/>
      <c r="N55" s="1311"/>
      <c r="O55" s="1311"/>
      <c r="P55" s="1311"/>
      <c r="Q55" s="1311"/>
      <c r="R55" s="1311"/>
    </row>
    <row r="56" spans="1:18" ht="18" customHeight="1" x14ac:dyDescent="0.2">
      <c r="A56" s="656"/>
      <c r="B56" s="1408" t="s">
        <v>1957</v>
      </c>
      <c r="C56" s="1596"/>
      <c r="D56" s="290">
        <f t="shared" si="2"/>
        <v>157.32594590492107</v>
      </c>
      <c r="E56" s="312">
        <f>301.7+162.25+626+966.04+532.74</f>
        <v>2588.7299999999996</v>
      </c>
      <c r="F56" s="174">
        <v>701916</v>
      </c>
      <c r="G56" s="1568">
        <v>3842099</v>
      </c>
      <c r="H56" s="1818">
        <v>2486695</v>
      </c>
      <c r="I56" s="1550">
        <v>18673517</v>
      </c>
      <c r="J56" s="1550">
        <v>1985392</v>
      </c>
      <c r="K56" s="1436"/>
      <c r="L56" s="1592"/>
      <c r="M56" s="1311"/>
      <c r="N56" s="1311"/>
      <c r="O56" s="1311"/>
      <c r="P56" s="1311"/>
      <c r="Q56" s="1311"/>
      <c r="R56" s="1311"/>
    </row>
    <row r="57" spans="1:18" ht="18" customHeight="1" x14ac:dyDescent="0.2">
      <c r="A57" s="656"/>
      <c r="B57" s="3039" t="s">
        <v>2585</v>
      </c>
      <c r="C57" s="1567"/>
      <c r="D57" s="290">
        <f t="shared" si="2"/>
        <v>164.14403190076575</v>
      </c>
      <c r="E57" s="312">
        <f>10+4+6+13+2</f>
        <v>35</v>
      </c>
      <c r="F57" s="174">
        <v>822188</v>
      </c>
      <c r="G57" s="1568">
        <v>4790443</v>
      </c>
      <c r="H57" s="395">
        <v>1736274</v>
      </c>
      <c r="I57" s="1550">
        <v>21592627</v>
      </c>
      <c r="J57" s="1550">
        <v>2120303</v>
      </c>
      <c r="K57" s="1436"/>
      <c r="L57" s="1551"/>
      <c r="M57" s="1311"/>
      <c r="N57" s="1311"/>
      <c r="O57" s="1311"/>
      <c r="P57" s="1311"/>
      <c r="Q57" s="1311"/>
      <c r="R57" s="1311"/>
    </row>
    <row r="58" spans="1:18" ht="18" customHeight="1" x14ac:dyDescent="0.2">
      <c r="A58" s="656"/>
      <c r="B58" s="2493" t="s">
        <v>2216</v>
      </c>
      <c r="C58" s="323"/>
      <c r="D58" s="290">
        <f t="shared" si="2"/>
        <v>168.40778851635486</v>
      </c>
      <c r="E58" s="164">
        <f>9.5+18.6+12.5+27.9+6.6</f>
        <v>75.099999999999994</v>
      </c>
      <c r="F58" s="302">
        <v>988625</v>
      </c>
      <c r="G58" s="308">
        <v>4940365</v>
      </c>
      <c r="H58" s="1543">
        <v>2066300</v>
      </c>
      <c r="I58" s="176">
        <v>21365637</v>
      </c>
      <c r="J58" s="176">
        <v>1602688</v>
      </c>
      <c r="K58" s="1817"/>
      <c r="L58" s="1545"/>
      <c r="M58" s="1311"/>
      <c r="N58" s="1311"/>
      <c r="O58" s="1311"/>
      <c r="P58" s="1311"/>
      <c r="Q58" s="1311"/>
      <c r="R58" s="1311"/>
    </row>
    <row r="59" spans="1:18" ht="18" customHeight="1" x14ac:dyDescent="0.2">
      <c r="A59" s="656"/>
      <c r="B59" s="495" t="s">
        <v>2062</v>
      </c>
      <c r="C59" s="337"/>
      <c r="D59" s="290">
        <f t="shared" si="2"/>
        <v>170.57501367990392</v>
      </c>
      <c r="E59" s="312">
        <f>30.71+410.04+4522.3+1798.55+364.33</f>
        <v>7125.93</v>
      </c>
      <c r="F59" s="302">
        <v>701916</v>
      </c>
      <c r="G59" s="308">
        <v>4540853</v>
      </c>
      <c r="H59" s="1543">
        <v>2363745</v>
      </c>
      <c r="I59" s="1563">
        <v>29701502</v>
      </c>
      <c r="J59" s="1563">
        <v>1837501</v>
      </c>
      <c r="K59" s="1436"/>
      <c r="L59" s="1545"/>
      <c r="M59" s="1311"/>
      <c r="N59" s="1311"/>
      <c r="O59" s="1311"/>
      <c r="P59" s="1311"/>
      <c r="Q59" s="1311"/>
      <c r="R59" s="1311"/>
    </row>
    <row r="60" spans="1:18" ht="18" customHeight="1" x14ac:dyDescent="0.2">
      <c r="A60" s="656"/>
      <c r="B60" s="1660" t="s">
        <v>2080</v>
      </c>
      <c r="C60" s="1365" t="s">
        <v>40</v>
      </c>
      <c r="D60" s="290">
        <f t="shared" si="2"/>
        <v>177.84712623737963</v>
      </c>
      <c r="E60" s="312">
        <f>5+4+1+13+3</f>
        <v>26</v>
      </c>
      <c r="F60" s="302">
        <v>917774</v>
      </c>
      <c r="G60" s="308">
        <v>4396811</v>
      </c>
      <c r="H60" s="1543">
        <v>2385012</v>
      </c>
      <c r="I60" s="1566">
        <v>22396638</v>
      </c>
      <c r="J60" s="1566">
        <v>2160492</v>
      </c>
      <c r="K60" s="1436"/>
      <c r="L60" s="1545"/>
      <c r="M60" s="1311"/>
      <c r="N60" s="1311"/>
      <c r="O60" s="1311"/>
      <c r="P60" s="1311"/>
      <c r="Q60" s="1311"/>
      <c r="R60" s="1311"/>
    </row>
    <row r="61" spans="1:18" ht="18" customHeight="1" x14ac:dyDescent="0.2">
      <c r="A61" s="656"/>
      <c r="B61" s="497" t="s">
        <v>562</v>
      </c>
      <c r="C61" s="1365"/>
      <c r="D61" s="290">
        <f t="shared" si="2"/>
        <v>187.75537971629947</v>
      </c>
      <c r="E61" s="312">
        <f>43.3+42.597+41.16+128.71+37.49</f>
        <v>293.25700000000001</v>
      </c>
      <c r="F61" s="302">
        <v>1272177</v>
      </c>
      <c r="G61" s="308">
        <v>4130356</v>
      </c>
      <c r="H61" s="1543">
        <v>2265899</v>
      </c>
      <c r="I61" s="1564">
        <v>22235763</v>
      </c>
      <c r="J61" s="1564">
        <v>1955582</v>
      </c>
      <c r="K61" s="1436"/>
      <c r="L61" s="1545"/>
      <c r="M61" s="1311"/>
      <c r="N61" s="1311"/>
      <c r="O61" s="1311"/>
      <c r="P61" s="1311"/>
      <c r="Q61" s="1311"/>
      <c r="R61" s="1311"/>
    </row>
    <row r="62" spans="1:18" ht="18" customHeight="1" x14ac:dyDescent="0.25">
      <c r="A62" s="656"/>
      <c r="B62" s="1832" t="s">
        <v>1892</v>
      </c>
      <c r="C62" s="1569"/>
      <c r="D62" s="290">
        <f t="shared" si="2"/>
        <v>188.29746845694154</v>
      </c>
      <c r="E62" s="312"/>
      <c r="F62" s="302">
        <v>1294768</v>
      </c>
      <c r="G62" s="308">
        <v>4112119</v>
      </c>
      <c r="H62" s="1543">
        <v>2254585</v>
      </c>
      <c r="I62" s="1581">
        <v>22047959</v>
      </c>
      <c r="J62" s="1581">
        <v>1952635</v>
      </c>
      <c r="K62" s="1436"/>
      <c r="L62" s="1579"/>
      <c r="M62" s="1311"/>
      <c r="N62" s="1311"/>
      <c r="O62" s="1311"/>
      <c r="P62" s="1311"/>
      <c r="Q62" s="1311"/>
      <c r="R62" s="1311"/>
    </row>
    <row r="63" spans="1:18" ht="18" customHeight="1" x14ac:dyDescent="0.2">
      <c r="A63" s="656"/>
      <c r="B63" s="1408" t="s">
        <v>2066</v>
      </c>
      <c r="C63" s="1569"/>
      <c r="D63" s="290">
        <f t="shared" si="2"/>
        <v>191.91089655826329</v>
      </c>
      <c r="E63" s="312">
        <f>1+1+1+2+1</f>
        <v>6</v>
      </c>
      <c r="F63" s="302">
        <v>1206549</v>
      </c>
      <c r="G63" s="308">
        <v>4687765</v>
      </c>
      <c r="H63" s="1543">
        <v>2179934</v>
      </c>
      <c r="I63" s="1581">
        <v>26094378</v>
      </c>
      <c r="J63" s="1581">
        <v>1976193</v>
      </c>
      <c r="K63" s="1436"/>
      <c r="L63" s="1579"/>
      <c r="M63" s="1311"/>
      <c r="N63" s="1311"/>
      <c r="O63" s="1311"/>
      <c r="P63" s="1311"/>
      <c r="Q63" s="1311"/>
      <c r="R63" s="1311"/>
    </row>
    <row r="64" spans="1:18" ht="18" customHeight="1" x14ac:dyDescent="0.2">
      <c r="A64" s="656"/>
      <c r="B64" s="1408" t="s">
        <v>1436</v>
      </c>
      <c r="C64" s="1365"/>
      <c r="D64" s="290">
        <f t="shared" si="2"/>
        <v>197.33194086148197</v>
      </c>
      <c r="E64" s="312">
        <f>151.77+79.86+125.59+119.76+127.09</f>
        <v>604.07000000000005</v>
      </c>
      <c r="F64" s="302">
        <v>1294176</v>
      </c>
      <c r="G64" s="308">
        <v>4130356</v>
      </c>
      <c r="H64" s="1543">
        <v>2282429</v>
      </c>
      <c r="I64" s="392">
        <v>22255161</v>
      </c>
      <c r="J64" s="392">
        <v>2394957</v>
      </c>
      <c r="K64" s="1436"/>
      <c r="L64" s="1545"/>
      <c r="M64" s="1311"/>
      <c r="N64" s="1311"/>
      <c r="O64" s="1311"/>
      <c r="P64" s="1311"/>
      <c r="Q64" s="1311"/>
      <c r="R64" s="1311"/>
    </row>
    <row r="65" spans="1:18" ht="18" customHeight="1" x14ac:dyDescent="0.25">
      <c r="A65" s="656"/>
      <c r="B65" s="2499" t="s">
        <v>1863</v>
      </c>
      <c r="C65" s="1828" t="s">
        <v>40</v>
      </c>
      <c r="D65" s="290">
        <f t="shared" si="2"/>
        <v>204.320330970312</v>
      </c>
      <c r="E65" s="312">
        <f>2.22+3.55+2.08+12.53+2.22</f>
        <v>22.599999999999998</v>
      </c>
      <c r="F65" s="302">
        <v>986282</v>
      </c>
      <c r="G65" s="308">
        <v>3926177</v>
      </c>
      <c r="H65" s="1543">
        <v>3102252</v>
      </c>
      <c r="I65" s="1565">
        <v>24295923</v>
      </c>
      <c r="J65" s="1565">
        <v>2855979</v>
      </c>
      <c r="K65" s="1436"/>
      <c r="L65" s="1545"/>
      <c r="M65" s="1311"/>
      <c r="N65" s="1311"/>
      <c r="O65" s="1311"/>
      <c r="P65" s="1311"/>
      <c r="Q65" s="1311"/>
      <c r="R65" s="1311"/>
    </row>
    <row r="66" spans="1:18" ht="18" customHeight="1" x14ac:dyDescent="0.2">
      <c r="A66" s="656"/>
      <c r="B66" s="2500" t="s">
        <v>1325</v>
      </c>
      <c r="C66" s="1365" t="s">
        <v>40</v>
      </c>
      <c r="D66" s="290">
        <f t="shared" ref="D66:D74" si="3">SUM(F66/F$13,G66/G$13,H66/H$13,I66/I$13,J66/J$13)/5*100</f>
        <v>237.65232296055822</v>
      </c>
      <c r="E66" s="312"/>
      <c r="F66" s="302">
        <v>1141393</v>
      </c>
      <c r="G66" s="308">
        <v>3651850</v>
      </c>
      <c r="H66" s="1543">
        <v>3583325</v>
      </c>
      <c r="I66" s="1565">
        <v>19209032</v>
      </c>
      <c r="J66" s="1565">
        <v>4262426</v>
      </c>
      <c r="K66" s="1436"/>
      <c r="L66" s="1545"/>
      <c r="M66" s="1311"/>
      <c r="N66" s="1311"/>
      <c r="O66" s="1311"/>
      <c r="P66" s="1311"/>
      <c r="Q66" s="1311"/>
      <c r="R66" s="1311"/>
    </row>
    <row r="67" spans="1:18" ht="18" customHeight="1" x14ac:dyDescent="0.2">
      <c r="A67" s="656"/>
      <c r="B67" s="2494" t="s">
        <v>1890</v>
      </c>
      <c r="C67" s="329"/>
      <c r="D67" s="290">
        <f t="shared" si="3"/>
        <v>244.31222765208042</v>
      </c>
      <c r="E67" s="164"/>
      <c r="F67" s="302">
        <v>2008363</v>
      </c>
      <c r="G67" s="308">
        <v>4270687</v>
      </c>
      <c r="H67" s="1543">
        <v>2686755</v>
      </c>
      <c r="I67" s="172">
        <v>22374972</v>
      </c>
      <c r="J67" s="172">
        <v>2636281</v>
      </c>
      <c r="K67" s="1436"/>
      <c r="L67" s="1545"/>
      <c r="M67" s="1311"/>
      <c r="N67" s="1311"/>
      <c r="O67" s="1311"/>
      <c r="P67" s="1311"/>
      <c r="Q67" s="1311"/>
      <c r="R67" s="1311"/>
    </row>
    <row r="68" spans="1:18" ht="18" customHeight="1" x14ac:dyDescent="0.2">
      <c r="A68" s="656"/>
      <c r="B68" s="501" t="s">
        <v>1121</v>
      </c>
      <c r="C68" s="1562"/>
      <c r="D68" s="290">
        <f t="shared" si="3"/>
        <v>247.12954548002116</v>
      </c>
      <c r="E68" s="164"/>
      <c r="F68" s="302">
        <v>1600286</v>
      </c>
      <c r="G68" s="308">
        <v>6589504</v>
      </c>
      <c r="H68" s="1543">
        <v>2575660</v>
      </c>
      <c r="I68" s="306">
        <v>32737548</v>
      </c>
      <c r="J68" s="306">
        <v>2471053</v>
      </c>
      <c r="K68" s="1436"/>
      <c r="L68" s="1545"/>
      <c r="M68" s="1311"/>
      <c r="N68" s="1311"/>
      <c r="O68" s="1311"/>
      <c r="P68" s="1311"/>
      <c r="Q68" s="1311"/>
      <c r="R68" s="1311"/>
    </row>
    <row r="69" spans="1:18" ht="18" customHeight="1" x14ac:dyDescent="0.2">
      <c r="A69" s="656"/>
      <c r="B69" s="1376" t="s">
        <v>2067</v>
      </c>
      <c r="C69" s="1542"/>
      <c r="D69" s="290">
        <f t="shared" si="3"/>
        <v>274.42933304750198</v>
      </c>
      <c r="E69" s="164"/>
      <c r="F69" s="302">
        <v>2216382</v>
      </c>
      <c r="G69" s="308">
        <v>6604514</v>
      </c>
      <c r="H69" s="1543">
        <v>2627723</v>
      </c>
      <c r="I69" s="310">
        <v>29852841</v>
      </c>
      <c r="J69" s="310">
        <v>2442678</v>
      </c>
      <c r="K69" s="1436"/>
      <c r="L69" s="1545"/>
      <c r="M69" s="1311"/>
      <c r="N69" s="1311"/>
      <c r="O69" s="1311"/>
      <c r="P69" s="1311"/>
      <c r="Q69" s="1311"/>
      <c r="R69" s="1311"/>
    </row>
    <row r="70" spans="1:18" ht="18" customHeight="1" x14ac:dyDescent="0.2">
      <c r="A70" s="656"/>
      <c r="B70" s="2497" t="s">
        <v>2068</v>
      </c>
      <c r="C70" s="301"/>
      <c r="D70" s="290">
        <f t="shared" si="3"/>
        <v>282.11944836273432</v>
      </c>
      <c r="E70" s="1362"/>
      <c r="F70" s="302">
        <v>1974820</v>
      </c>
      <c r="G70" s="308">
        <v>5511599</v>
      </c>
      <c r="H70" s="1407">
        <v>3486163</v>
      </c>
      <c r="I70" s="315">
        <v>29442807</v>
      </c>
      <c r="J70" s="315">
        <v>3205344</v>
      </c>
      <c r="K70" s="1436"/>
      <c r="L70" s="1545"/>
      <c r="M70" s="1311"/>
      <c r="N70" s="1311"/>
      <c r="O70" s="1311"/>
      <c r="P70" s="1311"/>
      <c r="Q70" s="1311"/>
      <c r="R70" s="1311"/>
    </row>
    <row r="71" spans="1:18" ht="18" customHeight="1" x14ac:dyDescent="0.25">
      <c r="A71" s="656"/>
      <c r="B71" s="503" t="s">
        <v>1891</v>
      </c>
      <c r="C71" s="1707" t="s">
        <v>40</v>
      </c>
      <c r="D71" s="290">
        <f t="shared" si="3"/>
        <v>299.74689713688252</v>
      </c>
      <c r="E71" s="312">
        <f>0.3+0.6+0.5+91.53+32.21</f>
        <v>125.14000000000001</v>
      </c>
      <c r="F71" s="302">
        <v>2169884</v>
      </c>
      <c r="G71" s="308">
        <v>7488622</v>
      </c>
      <c r="H71" s="1543">
        <v>6553671</v>
      </c>
      <c r="I71" s="315">
        <v>18882292</v>
      </c>
      <c r="J71" s="315">
        <v>1125852</v>
      </c>
      <c r="K71" s="1436"/>
      <c r="L71" s="1545"/>
      <c r="M71" s="1311"/>
      <c r="N71" s="1311"/>
      <c r="O71" s="1311"/>
      <c r="P71" s="1311"/>
      <c r="Q71" s="1311"/>
      <c r="R71" s="1311"/>
    </row>
    <row r="72" spans="1:18" ht="18" customHeight="1" x14ac:dyDescent="0.2">
      <c r="A72" s="656"/>
      <c r="B72" s="2501" t="s">
        <v>1712</v>
      </c>
      <c r="C72" s="394" t="s">
        <v>40</v>
      </c>
      <c r="D72" s="290">
        <f t="shared" si="3"/>
        <v>301.7715452953509</v>
      </c>
      <c r="E72" s="312">
        <f>0.73+0.92+0.82+3.76+0.86</f>
        <v>7.09</v>
      </c>
      <c r="F72" s="302">
        <v>2161056</v>
      </c>
      <c r="G72" s="317">
        <v>3980482</v>
      </c>
      <c r="H72" s="302">
        <v>3997680</v>
      </c>
      <c r="I72" s="315">
        <v>20279510</v>
      </c>
      <c r="J72" s="315">
        <v>4478162</v>
      </c>
      <c r="K72" s="1436"/>
      <c r="L72" s="1545"/>
      <c r="M72" s="1311"/>
      <c r="N72" s="1311"/>
      <c r="O72" s="1311"/>
      <c r="P72" s="1311"/>
      <c r="Q72" s="1311"/>
      <c r="R72" s="1311"/>
    </row>
    <row r="73" spans="1:18" ht="18" customHeight="1" x14ac:dyDescent="0.2">
      <c r="A73" s="656"/>
      <c r="B73" s="1829" t="s">
        <v>1889</v>
      </c>
      <c r="C73" s="335"/>
      <c r="D73" s="290">
        <f t="shared" si="3"/>
        <v>339.8875012391527</v>
      </c>
      <c r="E73" s="312"/>
      <c r="F73" s="302">
        <v>2915308</v>
      </c>
      <c r="G73" s="308">
        <v>8070946</v>
      </c>
      <c r="H73" s="1543">
        <v>3035022</v>
      </c>
      <c r="I73" s="315">
        <v>31824670</v>
      </c>
      <c r="J73" s="315">
        <v>3124092</v>
      </c>
      <c r="K73" s="1436"/>
      <c r="L73" s="1545"/>
      <c r="M73" s="1311"/>
      <c r="N73" s="1311"/>
      <c r="O73" s="1311"/>
      <c r="P73" s="1311"/>
      <c r="Q73" s="1311"/>
      <c r="R73" s="1311"/>
    </row>
    <row r="74" spans="1:18" ht="18" customHeight="1" x14ac:dyDescent="0.2">
      <c r="A74" s="656"/>
      <c r="B74" s="1830" t="s">
        <v>1133</v>
      </c>
      <c r="C74" s="323"/>
      <c r="D74" s="290">
        <f t="shared" si="3"/>
        <v>731.26663121527122</v>
      </c>
      <c r="E74" s="312"/>
      <c r="F74" s="302">
        <v>8294456</v>
      </c>
      <c r="G74" s="308">
        <v>8294456</v>
      </c>
      <c r="H74" s="1543">
        <v>6553656</v>
      </c>
      <c r="I74" s="315">
        <v>31800056</v>
      </c>
      <c r="J74" s="315">
        <v>6917276</v>
      </c>
      <c r="K74" s="1436"/>
      <c r="L74" s="1545"/>
      <c r="M74" s="1311"/>
      <c r="N74" s="1311"/>
      <c r="O74" s="1311"/>
      <c r="P74" s="1311"/>
      <c r="Q74" s="1311"/>
      <c r="R74" s="1311"/>
    </row>
    <row r="75" spans="1:18" ht="18" customHeight="1" x14ac:dyDescent="0.25">
      <c r="A75" s="656"/>
      <c r="B75" s="2490" t="s">
        <v>1577</v>
      </c>
      <c r="C75" s="340" t="s">
        <v>40</v>
      </c>
      <c r="D75" s="290"/>
      <c r="E75" s="312">
        <f>1.55+1.64+1.24+10.1+1.79</f>
        <v>16.32</v>
      </c>
      <c r="F75" s="302" t="s">
        <v>482</v>
      </c>
      <c r="G75" s="308" t="s">
        <v>482</v>
      </c>
      <c r="H75" s="1543" t="s">
        <v>482</v>
      </c>
      <c r="I75" s="315">
        <v>21422556</v>
      </c>
      <c r="J75" s="315">
        <v>2883491</v>
      </c>
      <c r="K75" s="1436"/>
      <c r="L75" s="1545"/>
      <c r="M75" s="1311"/>
      <c r="N75" s="1311"/>
      <c r="O75" s="1311"/>
      <c r="P75" s="1311"/>
      <c r="Q75" s="1311"/>
      <c r="R75" s="1311"/>
    </row>
    <row r="76" spans="1:18" ht="18" customHeight="1" x14ac:dyDescent="0.2">
      <c r="A76" s="656"/>
      <c r="B76" s="2491" t="s">
        <v>1869</v>
      </c>
      <c r="C76" s="1365" t="s">
        <v>40</v>
      </c>
      <c r="D76" s="290"/>
      <c r="E76" s="312">
        <f>0.47+0.84+0.47+4.69+0.52</f>
        <v>6.99</v>
      </c>
      <c r="F76" s="302" t="s">
        <v>482</v>
      </c>
      <c r="G76" s="308" t="s">
        <v>482</v>
      </c>
      <c r="H76" s="1543" t="s">
        <v>482</v>
      </c>
      <c r="I76" s="315">
        <v>21759879</v>
      </c>
      <c r="J76" s="315">
        <v>2406360</v>
      </c>
      <c r="K76" s="1436"/>
      <c r="L76" s="1545"/>
      <c r="M76" s="1311"/>
      <c r="N76" s="1311"/>
      <c r="O76" s="1311"/>
      <c r="P76" s="1311"/>
      <c r="Q76" s="1311"/>
      <c r="R76" s="1311"/>
    </row>
    <row r="77" spans="1:18" ht="18" customHeight="1" x14ac:dyDescent="0.2">
      <c r="A77" s="656"/>
      <c r="B77" s="495" t="s">
        <v>1124</v>
      </c>
      <c r="C77" s="331"/>
      <c r="D77" s="290"/>
      <c r="E77" s="312"/>
      <c r="F77" s="302" t="s">
        <v>482</v>
      </c>
      <c r="G77" s="308" t="s">
        <v>482</v>
      </c>
      <c r="H77" s="1543" t="s">
        <v>482</v>
      </c>
      <c r="I77" s="315">
        <v>31830089</v>
      </c>
      <c r="J77" s="315">
        <v>4869058</v>
      </c>
      <c r="K77" s="1436"/>
      <c r="L77" s="1545"/>
      <c r="M77" s="1311"/>
      <c r="N77" s="1311"/>
      <c r="O77" s="1311"/>
      <c r="P77" s="1311"/>
      <c r="Q77" s="1311"/>
      <c r="R77" s="1311"/>
    </row>
    <row r="78" spans="1:18" ht="18" customHeight="1" x14ac:dyDescent="0.2">
      <c r="A78" s="656"/>
      <c r="B78" s="494" t="s">
        <v>561</v>
      </c>
      <c r="C78" s="339" t="s">
        <v>40</v>
      </c>
      <c r="D78" s="290"/>
      <c r="E78" s="312">
        <f>8.02</f>
        <v>8.02</v>
      </c>
      <c r="F78" s="302" t="s">
        <v>482</v>
      </c>
      <c r="G78" s="308" t="s">
        <v>482</v>
      </c>
      <c r="H78" s="1543" t="s">
        <v>482</v>
      </c>
      <c r="I78" s="315">
        <v>18862482</v>
      </c>
      <c r="J78" s="315">
        <v>1960306</v>
      </c>
      <c r="K78" s="1436"/>
      <c r="L78" s="1545"/>
      <c r="M78" s="1311"/>
      <c r="N78" s="1311"/>
      <c r="O78" s="1311"/>
      <c r="P78" s="1311"/>
      <c r="Q78" s="1311"/>
      <c r="R78" s="1311"/>
    </row>
    <row r="79" spans="1:18" ht="18" customHeight="1" x14ac:dyDescent="0.2">
      <c r="A79" s="656"/>
      <c r="B79" s="497" t="s">
        <v>1719</v>
      </c>
      <c r="C79" s="337"/>
      <c r="D79" s="290"/>
      <c r="E79" s="312">
        <f>0+0+0+4.39+0.91</f>
        <v>5.3</v>
      </c>
      <c r="F79" s="308" t="s">
        <v>482</v>
      </c>
      <c r="G79" s="308" t="s">
        <v>482</v>
      </c>
      <c r="H79" s="308" t="s">
        <v>482</v>
      </c>
      <c r="I79" s="308">
        <v>19118113</v>
      </c>
      <c r="J79" s="308">
        <v>2406272</v>
      </c>
      <c r="K79" s="1436"/>
      <c r="L79" s="1545"/>
      <c r="M79" s="1311"/>
      <c r="N79" s="1311"/>
      <c r="O79" s="1311"/>
      <c r="P79" s="1311"/>
      <c r="Q79" s="1311"/>
      <c r="R79" s="1311"/>
    </row>
    <row r="80" spans="1:18" ht="18" customHeight="1" x14ac:dyDescent="0.2">
      <c r="A80" s="656"/>
      <c r="B80" s="494" t="s">
        <v>1969</v>
      </c>
      <c r="C80" s="1586"/>
      <c r="D80" s="290"/>
      <c r="E80" s="1362">
        <f>0+0+0+56+3.63</f>
        <v>59.63</v>
      </c>
      <c r="F80" s="302" t="s">
        <v>482</v>
      </c>
      <c r="G80" s="308" t="s">
        <v>482</v>
      </c>
      <c r="H80" s="1543" t="s">
        <v>482</v>
      </c>
      <c r="I80" s="315">
        <v>16641064</v>
      </c>
      <c r="J80" s="315">
        <v>1411988</v>
      </c>
      <c r="K80" s="1436"/>
      <c r="L80" s="1545"/>
      <c r="M80" s="1311"/>
      <c r="N80" s="1311"/>
      <c r="O80" s="1311"/>
      <c r="P80" s="1311"/>
      <c r="Q80" s="1311"/>
      <c r="R80" s="1311"/>
    </row>
    <row r="81" spans="1:18" ht="18" customHeight="1" x14ac:dyDescent="0.2">
      <c r="A81" s="656"/>
      <c r="B81" s="1408" t="s">
        <v>1050</v>
      </c>
      <c r="C81" s="1365"/>
      <c r="D81" s="290"/>
      <c r="E81" s="312"/>
      <c r="F81" s="308" t="s">
        <v>482</v>
      </c>
      <c r="G81" s="308" t="s">
        <v>482</v>
      </c>
      <c r="H81" s="308" t="s">
        <v>482</v>
      </c>
      <c r="I81" s="315">
        <v>29835158</v>
      </c>
      <c r="J81" s="315">
        <v>2434178</v>
      </c>
      <c r="K81" s="1436"/>
      <c r="L81" s="1545"/>
      <c r="M81" s="1311"/>
      <c r="N81" s="1311"/>
      <c r="O81" s="1311"/>
      <c r="P81" s="1311"/>
      <c r="Q81" s="1311"/>
      <c r="R81" s="1311"/>
    </row>
    <row r="82" spans="1:18" ht="18" customHeight="1" x14ac:dyDescent="0.2">
      <c r="A82" s="656"/>
      <c r="B82" s="495" t="s">
        <v>2071</v>
      </c>
      <c r="C82" s="1541"/>
      <c r="D82" s="290"/>
      <c r="E82" s="1362">
        <f>0+0+0+2.99+0.48</f>
        <v>3.47</v>
      </c>
      <c r="F82" s="302" t="s">
        <v>482</v>
      </c>
      <c r="G82" s="308" t="s">
        <v>482</v>
      </c>
      <c r="H82" s="1543" t="s">
        <v>482</v>
      </c>
      <c r="I82" s="315">
        <v>18464470</v>
      </c>
      <c r="J82" s="315">
        <v>1398861</v>
      </c>
      <c r="K82" s="1436"/>
      <c r="L82" s="1545"/>
      <c r="M82" s="1311"/>
      <c r="N82" s="1311"/>
      <c r="O82" s="1311"/>
      <c r="P82" s="1311"/>
      <c r="Q82" s="1311"/>
      <c r="R82" s="1311"/>
    </row>
    <row r="83" spans="1:18" ht="18" customHeight="1" x14ac:dyDescent="0.25">
      <c r="A83" s="656"/>
      <c r="B83" s="2313" t="s">
        <v>2003</v>
      </c>
      <c r="C83" s="338" t="s">
        <v>40</v>
      </c>
      <c r="D83" s="290"/>
      <c r="E83" s="1362">
        <f>0.545+0.64+0.509+1.776+0.356</f>
        <v>3.8259999999999996</v>
      </c>
      <c r="F83" s="302" t="s">
        <v>482</v>
      </c>
      <c r="G83" s="308" t="s">
        <v>482</v>
      </c>
      <c r="H83" s="1543" t="s">
        <v>482</v>
      </c>
      <c r="I83" s="315">
        <v>18992100</v>
      </c>
      <c r="J83" s="315">
        <v>4440608</v>
      </c>
      <c r="K83" s="1436"/>
      <c r="L83" s="1545"/>
      <c r="M83" s="1311"/>
      <c r="N83" s="1311"/>
      <c r="O83" s="1311"/>
      <c r="P83" s="1311"/>
      <c r="Q83" s="1311"/>
      <c r="R83" s="1311"/>
    </row>
    <row r="84" spans="1:18" ht="18" customHeight="1" x14ac:dyDescent="0.2">
      <c r="A84" s="656"/>
      <c r="B84" s="497" t="s">
        <v>1604</v>
      </c>
      <c r="C84" s="1541"/>
      <c r="D84" s="290"/>
      <c r="E84" s="1362">
        <f>0+0+0+31.64+4.34</f>
        <v>35.980000000000004</v>
      </c>
      <c r="F84" s="302" t="s">
        <v>482</v>
      </c>
      <c r="G84" s="308" t="s">
        <v>482</v>
      </c>
      <c r="H84" s="1543" t="s">
        <v>482</v>
      </c>
      <c r="I84" s="315">
        <v>17396658</v>
      </c>
      <c r="J84" s="315">
        <v>1220895</v>
      </c>
      <c r="K84" s="1436"/>
      <c r="L84" s="1545"/>
      <c r="M84" s="1311"/>
      <c r="N84" s="1311"/>
      <c r="O84" s="1311"/>
      <c r="P84" s="1311"/>
      <c r="Q84" s="1311"/>
      <c r="R84" s="1311"/>
    </row>
    <row r="85" spans="1:18" ht="18" customHeight="1" x14ac:dyDescent="0.2">
      <c r="A85" s="656"/>
      <c r="B85" s="497" t="s">
        <v>1732</v>
      </c>
      <c r="C85" s="1365" t="s">
        <v>40</v>
      </c>
      <c r="D85" s="290"/>
      <c r="E85" s="1362"/>
      <c r="F85" s="302" t="s">
        <v>482</v>
      </c>
      <c r="G85" s="308" t="s">
        <v>482</v>
      </c>
      <c r="H85" s="1543" t="s">
        <v>482</v>
      </c>
      <c r="I85" s="315" t="s">
        <v>482</v>
      </c>
      <c r="J85" s="315" t="s">
        <v>482</v>
      </c>
      <c r="K85" s="1436"/>
      <c r="L85" s="1545"/>
      <c r="M85" s="1311"/>
      <c r="N85" s="1311"/>
      <c r="O85" s="1311"/>
      <c r="P85" s="1311"/>
      <c r="Q85" s="1311"/>
      <c r="R85" s="1311"/>
    </row>
    <row r="86" spans="1:18" ht="18" customHeight="1" x14ac:dyDescent="0.2">
      <c r="A86" s="656"/>
      <c r="B86" s="2313" t="s">
        <v>1871</v>
      </c>
      <c r="C86" s="1365" t="s">
        <v>40</v>
      </c>
      <c r="D86" s="290"/>
      <c r="E86" s="1362"/>
      <c r="F86" s="302" t="s">
        <v>482</v>
      </c>
      <c r="G86" s="308" t="s">
        <v>482</v>
      </c>
      <c r="H86" s="1543" t="s">
        <v>482</v>
      </c>
      <c r="I86" s="315">
        <v>19947292</v>
      </c>
      <c r="J86" s="315">
        <v>4954324</v>
      </c>
      <c r="K86" s="1436"/>
      <c r="L86" s="1545"/>
      <c r="M86" s="1311"/>
      <c r="N86" s="1311"/>
      <c r="O86" s="1311"/>
      <c r="P86" s="1311"/>
      <c r="Q86" s="1311"/>
      <c r="R86" s="1311"/>
    </row>
    <row r="87" spans="1:18" ht="18" customHeight="1" x14ac:dyDescent="0.2">
      <c r="A87" s="656"/>
      <c r="B87" s="1816" t="s">
        <v>1718</v>
      </c>
      <c r="C87" s="1831"/>
      <c r="D87" s="290"/>
      <c r="E87" s="312">
        <f>0+0+0+22+5</f>
        <v>27</v>
      </c>
      <c r="F87" s="302" t="s">
        <v>482</v>
      </c>
      <c r="G87" s="308" t="s">
        <v>482</v>
      </c>
      <c r="H87" s="1543" t="s">
        <v>482</v>
      </c>
      <c r="I87" s="315">
        <v>18835440</v>
      </c>
      <c r="J87" s="315">
        <v>1747002</v>
      </c>
      <c r="K87" s="1436"/>
      <c r="L87" s="1545"/>
      <c r="M87" s="1311"/>
      <c r="N87" s="1311"/>
      <c r="O87" s="1311"/>
      <c r="P87" s="1311"/>
      <c r="Q87" s="1311"/>
      <c r="R87" s="1311"/>
    </row>
    <row r="88" spans="1:18" ht="18" customHeight="1" x14ac:dyDescent="0.2">
      <c r="A88" s="656"/>
      <c r="B88" s="2498" t="s">
        <v>1725</v>
      </c>
      <c r="C88" s="201" t="s">
        <v>40</v>
      </c>
      <c r="D88" s="290"/>
      <c r="E88" s="312">
        <f>16.01+2.62</f>
        <v>18.630000000000003</v>
      </c>
      <c r="F88" s="302" t="s">
        <v>482</v>
      </c>
      <c r="G88" s="308" t="s">
        <v>482</v>
      </c>
      <c r="H88" s="1543" t="s">
        <v>482</v>
      </c>
      <c r="I88" s="315">
        <v>19389235</v>
      </c>
      <c r="J88" s="315">
        <v>2388349</v>
      </c>
      <c r="K88" s="1436"/>
      <c r="L88" s="1545"/>
      <c r="M88" s="1311"/>
      <c r="N88" s="1311"/>
      <c r="O88" s="1311"/>
      <c r="P88" s="1311"/>
      <c r="Q88" s="1311"/>
      <c r="R88" s="1311"/>
    </row>
    <row r="89" spans="1:18" ht="18" customHeight="1" x14ac:dyDescent="0.2">
      <c r="A89" s="656"/>
      <c r="B89" s="500" t="s">
        <v>1751</v>
      </c>
      <c r="C89" s="201"/>
      <c r="D89" s="290"/>
      <c r="E89" s="312">
        <f>0+0+0+0.62+0.13</f>
        <v>0.75</v>
      </c>
      <c r="F89" s="302" t="s">
        <v>482</v>
      </c>
      <c r="G89" s="308" t="s">
        <v>482</v>
      </c>
      <c r="H89" s="1543" t="s">
        <v>482</v>
      </c>
      <c r="I89" s="315">
        <v>20045366</v>
      </c>
      <c r="J89" s="315">
        <v>4119635</v>
      </c>
      <c r="K89" s="1436"/>
      <c r="L89" s="1545"/>
      <c r="M89" s="1311"/>
      <c r="N89" s="1311"/>
      <c r="O89" s="1311"/>
      <c r="P89" s="1311"/>
      <c r="Q89" s="1311"/>
      <c r="R89" s="1311"/>
    </row>
    <row r="90" spans="1:18" ht="18" customHeight="1" x14ac:dyDescent="0.2">
      <c r="A90" s="656"/>
      <c r="B90" s="1465" t="s">
        <v>1904</v>
      </c>
      <c r="C90" s="1567"/>
      <c r="D90" s="1597"/>
      <c r="E90" s="1549">
        <f>0+0+0+0.97+0.22</f>
        <v>1.19</v>
      </c>
      <c r="F90" s="302" t="s">
        <v>482</v>
      </c>
      <c r="G90" s="308" t="s">
        <v>482</v>
      </c>
      <c r="H90" s="304" t="s">
        <v>482</v>
      </c>
      <c r="I90" s="315">
        <v>19518105</v>
      </c>
      <c r="J90" s="315">
        <v>2923024</v>
      </c>
      <c r="K90" s="1436"/>
      <c r="L90" s="1545"/>
      <c r="M90" s="1311"/>
      <c r="N90" s="1311"/>
      <c r="O90" s="1311"/>
      <c r="P90" s="1311"/>
      <c r="Q90" s="1311"/>
      <c r="R90" s="1311"/>
    </row>
    <row r="91" spans="1:18" ht="18" customHeight="1" x14ac:dyDescent="0.2">
      <c r="A91" s="656"/>
      <c r="B91" s="525"/>
      <c r="C91" s="575"/>
      <c r="D91" s="1629"/>
      <c r="E91" s="1630"/>
      <c r="F91" s="177"/>
      <c r="G91" s="177"/>
      <c r="H91" s="177"/>
      <c r="I91" s="177"/>
      <c r="J91" s="177"/>
      <c r="K91" s="177"/>
      <c r="L91" s="1593"/>
      <c r="M91" s="1311"/>
      <c r="N91" s="1311"/>
      <c r="O91" s="1311"/>
      <c r="P91" s="1311"/>
      <c r="Q91" s="1311"/>
      <c r="R91" s="1311"/>
    </row>
    <row r="92" spans="1:18" ht="18" customHeight="1" x14ac:dyDescent="0.2">
      <c r="A92" s="656"/>
      <c r="B92" s="140" t="s">
        <v>2744</v>
      </c>
      <c r="C92" s="575"/>
      <c r="D92" s="1629"/>
      <c r="E92" s="1630"/>
      <c r="F92" s="177"/>
      <c r="G92" s="177"/>
      <c r="H92" s="177"/>
      <c r="I92" s="177"/>
      <c r="J92" s="177"/>
      <c r="K92" s="177"/>
      <c r="L92" s="1593"/>
      <c r="M92" s="1311"/>
      <c r="N92" s="1311"/>
      <c r="O92" s="1311"/>
      <c r="P92" s="1311"/>
      <c r="Q92" s="1311"/>
      <c r="R92" s="1311"/>
    </row>
    <row r="93" spans="1:18" ht="18" customHeight="1" x14ac:dyDescent="0.2">
      <c r="A93" s="656"/>
      <c r="B93" s="140" t="s">
        <v>2745</v>
      </c>
      <c r="C93" s="575"/>
      <c r="D93" s="1629"/>
      <c r="E93" s="1630"/>
      <c r="F93" s="177"/>
      <c r="G93" s="177"/>
      <c r="H93" s="177"/>
      <c r="I93" s="177"/>
      <c r="J93" s="177"/>
      <c r="K93" s="177"/>
      <c r="L93" s="1593"/>
      <c r="M93" s="1311"/>
      <c r="N93" s="1311"/>
      <c r="O93" s="1311"/>
      <c r="P93" s="1311"/>
      <c r="Q93" s="1311"/>
      <c r="R93" s="1311"/>
    </row>
    <row r="94" spans="1:18" ht="18" customHeight="1" x14ac:dyDescent="0.2">
      <c r="A94" s="656"/>
      <c r="B94" s="142" t="s">
        <v>2748</v>
      </c>
      <c r="C94" s="575"/>
      <c r="D94" s="1629"/>
      <c r="E94" s="1630"/>
      <c r="F94" s="177"/>
      <c r="G94" s="177"/>
      <c r="H94" s="177"/>
      <c r="I94" s="177"/>
      <c r="J94" s="177"/>
      <c r="K94" s="177"/>
      <c r="L94" s="1593"/>
      <c r="M94" s="1311"/>
      <c r="N94" s="1311"/>
      <c r="O94" s="1311"/>
      <c r="P94" s="1311"/>
      <c r="Q94" s="1311"/>
      <c r="R94" s="1311"/>
    </row>
    <row r="95" spans="1:18" ht="18" customHeight="1" x14ac:dyDescent="0.2">
      <c r="A95" s="656"/>
      <c r="B95" s="415"/>
      <c r="C95" s="575"/>
      <c r="D95" s="1629"/>
      <c r="E95" s="1630"/>
      <c r="F95" s="177"/>
      <c r="G95" s="177"/>
      <c r="H95" s="177"/>
      <c r="I95" s="177"/>
      <c r="J95" s="177"/>
      <c r="K95" s="177"/>
      <c r="L95" s="1593"/>
      <c r="M95" s="1311"/>
      <c r="N95" s="1311"/>
      <c r="O95" s="1311"/>
      <c r="P95" s="1311"/>
      <c r="Q95" s="1311"/>
      <c r="R95" s="1311"/>
    </row>
    <row r="96" spans="1:18" ht="18" customHeight="1" x14ac:dyDescent="0.2">
      <c r="A96" s="656"/>
      <c r="B96" s="145"/>
      <c r="C96" s="1545"/>
      <c r="D96" s="1545"/>
      <c r="E96" s="1545"/>
      <c r="F96" s="1545"/>
      <c r="G96" s="1545"/>
      <c r="H96" s="1545"/>
      <c r="I96" s="1545"/>
      <c r="J96" s="1545"/>
      <c r="K96" s="1545"/>
      <c r="L96" s="1545"/>
      <c r="M96" s="1311"/>
      <c r="N96" s="1311"/>
      <c r="O96" s="1311"/>
      <c r="P96" s="1311"/>
      <c r="Q96" s="1311"/>
      <c r="R96" s="1311"/>
    </row>
    <row r="97" spans="1:18" ht="15" customHeight="1" x14ac:dyDescent="0.25">
      <c r="A97" s="1312"/>
      <c r="B97" s="3159" t="s">
        <v>2526</v>
      </c>
      <c r="C97" s="282"/>
      <c r="D97" s="4988" t="s">
        <v>1320</v>
      </c>
      <c r="E97" s="4991" t="s">
        <v>1603</v>
      </c>
      <c r="F97" s="1619" t="s">
        <v>1010</v>
      </c>
      <c r="G97" s="1619" t="s">
        <v>1011</v>
      </c>
      <c r="H97" s="1619" t="s">
        <v>1016</v>
      </c>
      <c r="I97" s="1626" t="s">
        <v>1012</v>
      </c>
      <c r="J97" s="1619" t="s">
        <v>1013</v>
      </c>
      <c r="K97" s="1619" t="s">
        <v>1014</v>
      </c>
      <c r="L97" s="1619" t="s">
        <v>1015</v>
      </c>
      <c r="M97" s="8"/>
      <c r="N97" s="1313"/>
      <c r="O97" s="1314"/>
      <c r="P97" s="1314"/>
      <c r="Q97" s="1315"/>
      <c r="R97" s="1315"/>
    </row>
    <row r="98" spans="1:18" ht="25.5" customHeight="1" x14ac:dyDescent="0.25">
      <c r="A98" s="1312"/>
      <c r="B98" s="1591" t="s">
        <v>2523</v>
      </c>
      <c r="C98" s="148"/>
      <c r="D98" s="4989"/>
      <c r="E98" s="4992"/>
      <c r="F98" s="1610" t="s">
        <v>1017</v>
      </c>
      <c r="G98" s="1610" t="s">
        <v>1018</v>
      </c>
      <c r="H98" s="1610" t="s">
        <v>2802</v>
      </c>
      <c r="I98" s="1610" t="s">
        <v>1019</v>
      </c>
      <c r="J98" s="1610" t="s">
        <v>1020</v>
      </c>
      <c r="K98" s="1610" t="s">
        <v>1022</v>
      </c>
      <c r="L98" s="1610" t="s">
        <v>1017</v>
      </c>
      <c r="M98" s="8"/>
      <c r="N98" s="1313"/>
      <c r="O98" s="1314"/>
      <c r="P98" s="1314"/>
      <c r="Q98" s="1315"/>
      <c r="R98" s="1315"/>
    </row>
    <row r="99" spans="1:18" ht="15" customHeight="1" x14ac:dyDescent="0.25">
      <c r="A99" s="1312"/>
      <c r="B99" s="285" t="s">
        <v>1336</v>
      </c>
      <c r="C99" s="148"/>
      <c r="D99" s="4989"/>
      <c r="E99" s="4992"/>
      <c r="F99" s="149" t="s">
        <v>1951</v>
      </c>
      <c r="G99" s="149" t="s">
        <v>1951</v>
      </c>
      <c r="H99" s="283" t="s">
        <v>1951</v>
      </c>
      <c r="I99" s="149" t="s">
        <v>1951</v>
      </c>
      <c r="J99" s="284" t="s">
        <v>1951</v>
      </c>
      <c r="K99" s="150" t="s">
        <v>1951</v>
      </c>
      <c r="L99" s="150" t="s">
        <v>1951</v>
      </c>
      <c r="M99" s="8"/>
      <c r="N99" s="1313"/>
      <c r="O99" s="1314"/>
      <c r="P99" s="1314"/>
      <c r="Q99" s="1315"/>
      <c r="R99" s="1315"/>
    </row>
    <row r="100" spans="1:18" ht="15" customHeight="1" x14ac:dyDescent="0.25">
      <c r="A100" s="1312"/>
      <c r="B100" s="4588" t="s">
        <v>1877</v>
      </c>
      <c r="C100" s="286"/>
      <c r="D100" s="4989"/>
      <c r="E100" s="4992"/>
      <c r="F100" s="287" t="s">
        <v>1600</v>
      </c>
      <c r="G100" s="287" t="s">
        <v>1600</v>
      </c>
      <c r="H100" s="287" t="s">
        <v>1600</v>
      </c>
      <c r="I100" s="287" t="s">
        <v>1600</v>
      </c>
      <c r="J100" s="287" t="s">
        <v>1601</v>
      </c>
      <c r="K100" s="287" t="s">
        <v>1600</v>
      </c>
      <c r="L100" s="287" t="s">
        <v>1021</v>
      </c>
      <c r="M100" s="8"/>
      <c r="N100" s="1313"/>
      <c r="O100" s="1314"/>
      <c r="P100" s="1314"/>
      <c r="Q100" s="1315"/>
      <c r="R100" s="1315"/>
    </row>
    <row r="101" spans="1:18" ht="14.25" customHeight="1" x14ac:dyDescent="0.25">
      <c r="A101" s="1312"/>
      <c r="B101" s="1546" t="s">
        <v>1602</v>
      </c>
      <c r="C101" s="148"/>
      <c r="D101" s="4990"/>
      <c r="E101" s="4993"/>
      <c r="F101" s="288" t="s">
        <v>1337</v>
      </c>
      <c r="G101" s="288" t="s">
        <v>1338</v>
      </c>
      <c r="H101" s="288" t="s">
        <v>1339</v>
      </c>
      <c r="I101" s="288" t="s">
        <v>1340</v>
      </c>
      <c r="J101" s="289" t="s">
        <v>1341</v>
      </c>
      <c r="K101" s="289" t="s">
        <v>1342</v>
      </c>
      <c r="L101" s="288" t="s">
        <v>1343</v>
      </c>
      <c r="M101" s="8"/>
      <c r="N101" s="1313"/>
      <c r="O101" s="1314"/>
      <c r="P101" s="1314"/>
      <c r="Q101" s="1315"/>
      <c r="R101" s="1315"/>
    </row>
    <row r="102" spans="1:18" ht="15" hidden="1" customHeight="1" x14ac:dyDescent="0.25">
      <c r="A102" s="1312"/>
      <c r="B102" s="155"/>
      <c r="C102" s="148"/>
      <c r="D102" s="138">
        <v>100</v>
      </c>
      <c r="F102" s="156">
        <f t="shared" ref="F102:L102" si="4">MIN(F103:F273)</f>
        <v>18437270</v>
      </c>
      <c r="G102" s="156">
        <f t="shared" si="4"/>
        <v>13737669</v>
      </c>
      <c r="H102" s="156">
        <f t="shared" si="4"/>
        <v>20990360</v>
      </c>
      <c r="I102" s="156">
        <f t="shared" si="4"/>
        <v>11353186</v>
      </c>
      <c r="J102" s="156">
        <f t="shared" si="4"/>
        <v>2681941</v>
      </c>
      <c r="K102" s="156">
        <f t="shared" si="4"/>
        <v>3468304</v>
      </c>
      <c r="L102" s="156">
        <f t="shared" si="4"/>
        <v>16915524</v>
      </c>
      <c r="M102" s="8"/>
      <c r="N102" s="1313"/>
      <c r="O102" s="1314"/>
      <c r="P102" s="1314"/>
      <c r="Q102" s="1315"/>
      <c r="R102" s="1315"/>
    </row>
    <row r="103" spans="1:18" ht="18" x14ac:dyDescent="0.2">
      <c r="A103" s="1312"/>
      <c r="B103" s="157" t="s">
        <v>983</v>
      </c>
      <c r="C103" s="158"/>
      <c r="D103" s="290">
        <f t="shared" ref="D103" si="5">SUM(F103/F$102,G103/G$102,H103/H$102,I103/I$102,J103/J$102,K103/K$102,L103/L$102)/7*100</f>
        <v>344.29939686614972</v>
      </c>
      <c r="E103" s="291" t="s">
        <v>1321</v>
      </c>
      <c r="F103" s="292">
        <v>53780338</v>
      </c>
      <c r="G103" s="162">
        <v>36671858</v>
      </c>
      <c r="H103" s="161">
        <v>35979426</v>
      </c>
      <c r="I103" s="293">
        <v>36615988</v>
      </c>
      <c r="J103" s="162">
        <v>17977420</v>
      </c>
      <c r="K103" s="162">
        <v>13970836</v>
      </c>
      <c r="L103" s="162">
        <v>48108320</v>
      </c>
      <c r="M103" s="8"/>
      <c r="N103" s="1316"/>
      <c r="O103" s="1317"/>
      <c r="P103" s="1318"/>
      <c r="Q103" s="436"/>
      <c r="R103" s="1319"/>
    </row>
    <row r="104" spans="1:18" ht="18" customHeight="1" x14ac:dyDescent="0.25">
      <c r="A104" s="1320"/>
      <c r="B104" s="2496" t="s">
        <v>2554</v>
      </c>
      <c r="C104" s="1834" t="s">
        <v>40</v>
      </c>
      <c r="D104" s="290">
        <f t="shared" ref="D104:D145" si="6">SUM(F104/F$102,G104/G$102,H104/H$102,I104/I$102,J104/J$102,K104/K$102,L104/L$102)/7*100</f>
        <v>101.40665437813701</v>
      </c>
      <c r="E104" s="204">
        <f>1728.59+1241.93+1261.72+1126.53+481.07+442.85+1472.97</f>
        <v>7755.66</v>
      </c>
      <c r="F104" s="1833">
        <v>18437270</v>
      </c>
      <c r="G104" s="1833">
        <v>13854356</v>
      </c>
      <c r="H104" s="1833">
        <v>21598805</v>
      </c>
      <c r="I104" s="1833">
        <v>11353186</v>
      </c>
      <c r="J104" s="1720">
        <v>2681941</v>
      </c>
      <c r="K104" s="1814">
        <v>3653152</v>
      </c>
      <c r="L104" s="1814">
        <v>17045581</v>
      </c>
      <c r="M104" s="8"/>
      <c r="N104" s="427"/>
      <c r="O104" s="1321"/>
      <c r="P104" s="1322"/>
      <c r="Q104" s="1323"/>
      <c r="R104" s="1319"/>
    </row>
    <row r="105" spans="1:18" ht="18" customHeight="1" x14ac:dyDescent="0.2">
      <c r="A105" s="1320"/>
      <c r="B105" s="3203" t="s">
        <v>2800</v>
      </c>
      <c r="C105" s="3372" t="s">
        <v>40</v>
      </c>
      <c r="D105" s="290">
        <f t="shared" si="6"/>
        <v>101.54174146786468</v>
      </c>
      <c r="E105" s="312">
        <f>1944.7+1405.7+1477.1+1244.1+518.8+475.5+1644.8</f>
        <v>8710.7000000000007</v>
      </c>
      <c r="F105" s="319">
        <v>18586717</v>
      </c>
      <c r="G105" s="319">
        <v>13750737</v>
      </c>
      <c r="H105" s="319">
        <v>21677196</v>
      </c>
      <c r="I105" s="319">
        <v>11441384</v>
      </c>
      <c r="J105" s="4583">
        <v>2744879</v>
      </c>
      <c r="K105" s="1814">
        <v>3589374</v>
      </c>
      <c r="L105" s="1814">
        <v>16915524</v>
      </c>
      <c r="M105" s="8"/>
      <c r="N105" s="427"/>
      <c r="O105" s="1321"/>
      <c r="P105" s="1322"/>
      <c r="Q105" s="1323"/>
      <c r="R105" s="1319"/>
    </row>
    <row r="106" spans="1:18" ht="18" customHeight="1" x14ac:dyDescent="0.2">
      <c r="A106" s="1320"/>
      <c r="B106" s="4716" t="s">
        <v>2555</v>
      </c>
      <c r="C106" s="3372" t="s">
        <v>40</v>
      </c>
      <c r="D106" s="290">
        <f t="shared" si="6"/>
        <v>101.81480610909045</v>
      </c>
      <c r="E106" s="312">
        <f>1508.39+1182.05+1056.04+1028.84+493.33+468.28+1702.38</f>
        <v>7439.3099999999995</v>
      </c>
      <c r="F106" s="3182">
        <v>18545221</v>
      </c>
      <c r="G106" s="3182">
        <v>13883339</v>
      </c>
      <c r="H106" s="3182">
        <v>21708172</v>
      </c>
      <c r="I106" s="3182">
        <v>11398846</v>
      </c>
      <c r="J106" s="4581">
        <v>2694717</v>
      </c>
      <c r="K106" s="1814">
        <v>3662250</v>
      </c>
      <c r="L106" s="1814">
        <v>17113020</v>
      </c>
      <c r="M106" s="8"/>
      <c r="N106" s="427"/>
      <c r="O106" s="1321"/>
      <c r="P106" s="1322"/>
      <c r="Q106" s="1323"/>
      <c r="R106" s="1319"/>
    </row>
    <row r="107" spans="1:18" ht="18" customHeight="1" x14ac:dyDescent="0.2">
      <c r="A107" s="1320"/>
      <c r="B107" s="4715" t="s">
        <v>2784</v>
      </c>
      <c r="C107" s="3372" t="s">
        <v>40</v>
      </c>
      <c r="D107" s="290">
        <f t="shared" si="6"/>
        <v>101.84072171384024</v>
      </c>
      <c r="E107" s="312">
        <f>1530.49+1202.23+1217.17+1115.3+454.35+420.61+1494.04</f>
        <v>7434.1900000000005</v>
      </c>
      <c r="F107" s="319">
        <v>18618532</v>
      </c>
      <c r="G107" s="319">
        <v>13782845</v>
      </c>
      <c r="H107" s="319">
        <v>21687005</v>
      </c>
      <c r="I107" s="319">
        <v>11483374</v>
      </c>
      <c r="J107" s="4581">
        <v>2750521</v>
      </c>
      <c r="K107" s="1814">
        <v>3609796</v>
      </c>
      <c r="L107" s="1814">
        <v>16995164</v>
      </c>
      <c r="M107" s="8"/>
      <c r="N107" s="427"/>
      <c r="O107" s="1321"/>
      <c r="P107" s="1322"/>
      <c r="Q107" s="1323"/>
      <c r="R107" s="1319"/>
    </row>
    <row r="108" spans="1:18" ht="18" customHeight="1" x14ac:dyDescent="0.25">
      <c r="A108" s="1320"/>
      <c r="B108" s="3038" t="s">
        <v>2567</v>
      </c>
      <c r="C108" s="1865"/>
      <c r="D108" s="290">
        <f t="shared" si="6"/>
        <v>102.40774096828014</v>
      </c>
      <c r="E108" s="312">
        <f>873.7+622.9+641.5+565.2+251+245.9+823.3</f>
        <v>4023.5</v>
      </c>
      <c r="F108" s="3024">
        <v>18872203</v>
      </c>
      <c r="G108" s="3024">
        <v>13939911</v>
      </c>
      <c r="H108" s="3024">
        <v>21587410</v>
      </c>
      <c r="I108" s="3024">
        <v>11509283</v>
      </c>
      <c r="J108" s="2849">
        <v>2739416</v>
      </c>
      <c r="K108" s="1814">
        <v>3661355</v>
      </c>
      <c r="L108" s="1814">
        <v>17100668</v>
      </c>
      <c r="M108" s="8"/>
      <c r="N108" s="427"/>
      <c r="O108" s="1321"/>
      <c r="P108" s="1322"/>
      <c r="Q108" s="1323"/>
      <c r="R108" s="1319"/>
    </row>
    <row r="109" spans="1:18" ht="18" customHeight="1" x14ac:dyDescent="0.25">
      <c r="A109" s="1320"/>
      <c r="B109" s="2965" t="s">
        <v>2568</v>
      </c>
      <c r="C109" s="294"/>
      <c r="D109" s="290">
        <f t="shared" si="6"/>
        <v>102.43070362832707</v>
      </c>
      <c r="E109" s="312">
        <f>1130.2+851.3+818.7+697+343.5+255.7+919.2</f>
        <v>5015.5999999999995</v>
      </c>
      <c r="F109" s="3024">
        <v>18876022</v>
      </c>
      <c r="G109" s="3024">
        <v>13940885</v>
      </c>
      <c r="H109" s="3024">
        <v>21587457</v>
      </c>
      <c r="I109" s="3024">
        <v>11511722</v>
      </c>
      <c r="J109" s="3030">
        <v>2741097</v>
      </c>
      <c r="K109" s="1814">
        <v>3662540</v>
      </c>
      <c r="L109" s="1814">
        <v>17103101</v>
      </c>
      <c r="M109" s="8"/>
      <c r="N109" s="427"/>
      <c r="O109" s="1321"/>
      <c r="P109" s="1322"/>
      <c r="Q109" s="1323"/>
      <c r="R109" s="1319"/>
    </row>
    <row r="110" spans="1:18" ht="18" customHeight="1" x14ac:dyDescent="0.25">
      <c r="A110" s="1320"/>
      <c r="B110" s="2957" t="s">
        <v>2569</v>
      </c>
      <c r="C110" s="3050"/>
      <c r="D110" s="290">
        <f t="shared" si="6"/>
        <v>102.70421215723518</v>
      </c>
      <c r="E110" s="312">
        <f>823.3+618.7+839.1+711.3+357.7+215.5+838.4</f>
        <v>4403.9999999999991</v>
      </c>
      <c r="F110" s="3024">
        <v>18901957</v>
      </c>
      <c r="G110" s="3024">
        <v>13966019</v>
      </c>
      <c r="H110" s="3024">
        <v>21662641</v>
      </c>
      <c r="I110" s="3024">
        <v>11541307</v>
      </c>
      <c r="J110" s="2849">
        <v>2743854</v>
      </c>
      <c r="K110" s="1814">
        <v>3683969</v>
      </c>
      <c r="L110" s="1814">
        <v>17145646</v>
      </c>
      <c r="M110" s="8"/>
      <c r="N110" s="427"/>
      <c r="O110" s="1321"/>
      <c r="P110" s="1322"/>
      <c r="Q110" s="1323"/>
      <c r="R110" s="1319"/>
    </row>
    <row r="111" spans="1:18" ht="18" customHeight="1" x14ac:dyDescent="0.25">
      <c r="A111" s="1320"/>
      <c r="B111" s="1688" t="s">
        <v>2469</v>
      </c>
      <c r="C111" s="3176" t="s">
        <v>40</v>
      </c>
      <c r="D111" s="290">
        <f t="shared" si="6"/>
        <v>102.936287359419</v>
      </c>
      <c r="E111" s="312">
        <f>1167.76+841.46+740.81+714.65+338.02+289.26+993.86</f>
        <v>5085.82</v>
      </c>
      <c r="F111" s="3182">
        <v>18603147</v>
      </c>
      <c r="G111" s="3182">
        <v>14190170</v>
      </c>
      <c r="H111" s="3182">
        <v>21659016</v>
      </c>
      <c r="I111" s="3182">
        <v>11561362</v>
      </c>
      <c r="J111" s="3183">
        <v>2715946</v>
      </c>
      <c r="K111" s="1814">
        <v>3741834</v>
      </c>
      <c r="L111" s="1814">
        <v>17285432</v>
      </c>
      <c r="M111" s="8"/>
      <c r="N111" s="427"/>
      <c r="O111" s="1321"/>
      <c r="P111" s="1322"/>
      <c r="Q111" s="1323"/>
      <c r="R111" s="1319"/>
    </row>
    <row r="112" spans="1:18" ht="18" customHeight="1" x14ac:dyDescent="0.25">
      <c r="A112" s="1320"/>
      <c r="B112" s="1408" t="s">
        <v>1332</v>
      </c>
      <c r="C112" s="1634" t="s">
        <v>40</v>
      </c>
      <c r="D112" s="290">
        <f t="shared" si="6"/>
        <v>103.09036675591688</v>
      </c>
      <c r="E112" s="312">
        <f>233.69+163.78+166.95+156.1+70.92+59.73+206.47</f>
        <v>1057.6400000000001</v>
      </c>
      <c r="F112" s="3182">
        <v>19096338</v>
      </c>
      <c r="G112" s="3182">
        <v>14073591</v>
      </c>
      <c r="H112" s="3182">
        <v>21588999</v>
      </c>
      <c r="I112" s="3182">
        <v>11575612</v>
      </c>
      <c r="J112" s="3183">
        <v>2777230</v>
      </c>
      <c r="K112" s="1814">
        <v>3669959</v>
      </c>
      <c r="L112" s="1814">
        <v>17158147</v>
      </c>
      <c r="M112" s="8"/>
      <c r="N112" s="427"/>
      <c r="O112" s="1321"/>
      <c r="P112" s="1322"/>
      <c r="Q112" s="1323"/>
      <c r="R112" s="1319"/>
    </row>
    <row r="113" spans="1:18" ht="18" customHeight="1" x14ac:dyDescent="0.2">
      <c r="A113" s="1320"/>
      <c r="B113" s="4717" t="s">
        <v>2503</v>
      </c>
      <c r="C113" s="4593" t="s">
        <v>40</v>
      </c>
      <c r="D113" s="290">
        <f t="shared" si="6"/>
        <v>103.09306646525971</v>
      </c>
      <c r="E113" s="312">
        <f>1029.4+792.03+826.53+839.36+377.66+381.29+1188.61</f>
        <v>5434.88</v>
      </c>
      <c r="F113" s="3182">
        <v>18648953</v>
      </c>
      <c r="G113" s="3182">
        <v>14075812</v>
      </c>
      <c r="H113" s="3182">
        <v>21798290</v>
      </c>
      <c r="I113" s="3182">
        <v>11586920</v>
      </c>
      <c r="J113" s="3183">
        <v>2729051</v>
      </c>
      <c r="K113" s="1814">
        <v>3741842</v>
      </c>
      <c r="L113" s="1814">
        <v>17336847</v>
      </c>
      <c r="M113" s="8"/>
      <c r="N113" s="427"/>
      <c r="O113" s="1321"/>
      <c r="P113" s="1322"/>
      <c r="Q113" s="1323"/>
      <c r="R113" s="1319"/>
    </row>
    <row r="114" spans="1:18" ht="18" customHeight="1" x14ac:dyDescent="0.25">
      <c r="A114" s="1320"/>
      <c r="B114" s="2957" t="s">
        <v>2570</v>
      </c>
      <c r="C114" s="3050"/>
      <c r="D114" s="290">
        <f t="shared" si="6"/>
        <v>103.21189945405789</v>
      </c>
      <c r="E114" s="312">
        <f>783+565.6+570.2+530.2+229.5+197.4+744.4</f>
        <v>3620.3</v>
      </c>
      <c r="F114" s="319">
        <v>19024006</v>
      </c>
      <c r="G114" s="319">
        <v>14068664</v>
      </c>
      <c r="H114" s="319">
        <v>21790955</v>
      </c>
      <c r="I114" s="319">
        <v>11583286</v>
      </c>
      <c r="J114" s="2849">
        <v>2746300</v>
      </c>
      <c r="K114" s="1814">
        <v>3706505</v>
      </c>
      <c r="L114" s="1814">
        <v>17217137</v>
      </c>
      <c r="M114" s="8"/>
      <c r="N114" s="427"/>
      <c r="O114" s="1321"/>
      <c r="P114" s="1322"/>
      <c r="Q114" s="1323"/>
      <c r="R114" s="1319"/>
    </row>
    <row r="115" spans="1:18" ht="18" customHeight="1" x14ac:dyDescent="0.25">
      <c r="A115" s="1320"/>
      <c r="B115" s="1788" t="s">
        <v>2571</v>
      </c>
      <c r="C115" s="1634"/>
      <c r="D115" s="290">
        <f t="shared" si="6"/>
        <v>103.21189945405789</v>
      </c>
      <c r="E115" s="2321">
        <f>909+592.4+628+541.3+229.1+196.5+701.6</f>
        <v>3797.8999999999996</v>
      </c>
      <c r="F115" s="1812">
        <v>19024006</v>
      </c>
      <c r="G115" s="1812">
        <v>14068664</v>
      </c>
      <c r="H115" s="1812">
        <v>21790955</v>
      </c>
      <c r="I115" s="1812">
        <v>11583286</v>
      </c>
      <c r="J115" s="392">
        <v>2746300</v>
      </c>
      <c r="K115" s="1814">
        <v>3706505</v>
      </c>
      <c r="L115" s="1814">
        <v>17217137</v>
      </c>
      <c r="M115" s="8"/>
      <c r="N115" s="427"/>
      <c r="O115" s="1321"/>
      <c r="P115" s="1322"/>
      <c r="Q115" s="1323"/>
      <c r="R115" s="1319"/>
    </row>
    <row r="116" spans="1:18" ht="18" customHeight="1" x14ac:dyDescent="0.25">
      <c r="A116" s="1320"/>
      <c r="B116" s="4931" t="s">
        <v>2470</v>
      </c>
      <c r="C116" s="3040" t="s">
        <v>40</v>
      </c>
      <c r="D116" s="290">
        <f t="shared" si="6"/>
        <v>103.65253001739066</v>
      </c>
      <c r="E116" s="312">
        <f>962.96+790.52+807.34+790.44+325.51+285.78+966.02</f>
        <v>4928.57</v>
      </c>
      <c r="F116" s="1363">
        <v>18740384</v>
      </c>
      <c r="G116" s="1363">
        <v>14306909</v>
      </c>
      <c r="H116" s="1363">
        <v>21800712</v>
      </c>
      <c r="I116" s="1363">
        <v>11638757</v>
      </c>
      <c r="J116" s="392">
        <v>2732736</v>
      </c>
      <c r="K116" s="1814">
        <v>3763452</v>
      </c>
      <c r="L116" s="1814">
        <v>17423037</v>
      </c>
      <c r="M116" s="8"/>
      <c r="N116" s="427"/>
      <c r="O116" s="1321"/>
      <c r="P116" s="1322"/>
      <c r="Q116" s="1323"/>
      <c r="R116" s="1319"/>
    </row>
    <row r="117" spans="1:18" ht="18" customHeight="1" x14ac:dyDescent="0.25">
      <c r="A117" s="1320"/>
      <c r="B117" s="2405" t="s">
        <v>2473</v>
      </c>
      <c r="C117" s="1865" t="s">
        <v>40</v>
      </c>
      <c r="D117" s="290">
        <f t="shared" si="6"/>
        <v>103.84108519979003</v>
      </c>
      <c r="E117" s="312">
        <f>730.99+516.7+539.25+506.96+195.38+185.47+632.38</f>
        <v>3307.13</v>
      </c>
      <c r="F117" s="177">
        <v>18825911</v>
      </c>
      <c r="G117" s="395">
        <v>14395230</v>
      </c>
      <c r="H117" s="395">
        <v>21835497</v>
      </c>
      <c r="I117" s="395">
        <v>11692010</v>
      </c>
      <c r="J117" s="2310">
        <v>2727593</v>
      </c>
      <c r="K117" s="1814">
        <v>3765389</v>
      </c>
      <c r="L117" s="1814">
        <v>17374698</v>
      </c>
      <c r="M117" s="8"/>
      <c r="N117" s="427"/>
      <c r="O117" s="1321"/>
      <c r="P117" s="1322"/>
      <c r="Q117" s="1323"/>
      <c r="R117" s="1319"/>
    </row>
    <row r="118" spans="1:18" ht="18" customHeight="1" x14ac:dyDescent="0.2">
      <c r="A118" s="1320"/>
      <c r="B118" s="4645" t="s">
        <v>2495</v>
      </c>
      <c r="C118" s="2320" t="s">
        <v>40</v>
      </c>
      <c r="D118" s="290">
        <f t="shared" si="6"/>
        <v>104.79905460257277</v>
      </c>
      <c r="E118" s="204">
        <f>550.72+411.83+401.98+384.44+148.16+169.91+579.68</f>
        <v>2646.72</v>
      </c>
      <c r="F118" s="1703">
        <v>18990476</v>
      </c>
      <c r="G118" s="1703">
        <v>14433684</v>
      </c>
      <c r="H118" s="1703">
        <v>21972859</v>
      </c>
      <c r="I118" s="1703">
        <v>11745447</v>
      </c>
      <c r="J118" s="1720">
        <v>2788951</v>
      </c>
      <c r="K118" s="1814">
        <v>3805654</v>
      </c>
      <c r="L118" s="1814">
        <v>17536995</v>
      </c>
      <c r="M118" s="8"/>
      <c r="N118" s="427"/>
      <c r="O118" s="1321"/>
      <c r="P118" s="1322"/>
      <c r="Q118" s="1323"/>
      <c r="R118" s="1319"/>
    </row>
    <row r="119" spans="1:18" ht="18" customHeight="1" x14ac:dyDescent="0.25">
      <c r="A119" s="1320"/>
      <c r="B119" s="500" t="s">
        <v>748</v>
      </c>
      <c r="C119" s="1834" t="s">
        <v>40</v>
      </c>
      <c r="D119" s="290">
        <f t="shared" si="6"/>
        <v>105.04947229983279</v>
      </c>
      <c r="E119" s="312">
        <f>442.6+322.31+337.81+303.96+120.15+119.82+408.9</f>
        <v>2055.5500000000002</v>
      </c>
      <c r="F119" s="177">
        <v>19072693</v>
      </c>
      <c r="G119" s="395">
        <v>14521419</v>
      </c>
      <c r="H119" s="395">
        <v>22039665</v>
      </c>
      <c r="I119" s="395">
        <v>11818184</v>
      </c>
      <c r="J119" s="1563">
        <v>2779325</v>
      </c>
      <c r="K119" s="1814">
        <v>3806155</v>
      </c>
      <c r="L119" s="1814">
        <v>17546109</v>
      </c>
      <c r="M119" s="8"/>
      <c r="N119" s="427"/>
      <c r="O119" s="1321"/>
      <c r="P119" s="1322"/>
      <c r="Q119" s="1323"/>
      <c r="R119" s="1319"/>
    </row>
    <row r="120" spans="1:18" ht="18" customHeight="1" x14ac:dyDescent="0.25">
      <c r="A120" s="1320"/>
      <c r="B120" s="1589" t="s">
        <v>2572</v>
      </c>
      <c r="C120" s="294"/>
      <c r="D120" s="290">
        <f t="shared" si="6"/>
        <v>107.14014364679829</v>
      </c>
      <c r="E120" s="164">
        <f>640.6+484+463.8+420.5+183.4+157.1+556.9</f>
        <v>2906.2999999999997</v>
      </c>
      <c r="F120" s="1703">
        <v>20283569</v>
      </c>
      <c r="G120" s="1703">
        <v>14628765</v>
      </c>
      <c r="H120" s="1703">
        <v>22155837</v>
      </c>
      <c r="I120" s="1703">
        <v>12402802</v>
      </c>
      <c r="J120" s="1478">
        <v>2734466</v>
      </c>
      <c r="K120" s="297">
        <v>3881311</v>
      </c>
      <c r="L120" s="297">
        <v>17730255</v>
      </c>
      <c r="M120" s="8"/>
      <c r="N120" s="427"/>
      <c r="O120" s="1321"/>
      <c r="P120" s="1322"/>
      <c r="Q120" s="1323"/>
      <c r="R120" s="1319"/>
    </row>
    <row r="121" spans="1:18" ht="18" customHeight="1" x14ac:dyDescent="0.2">
      <c r="A121" s="1320"/>
      <c r="B121" s="497" t="s">
        <v>1864</v>
      </c>
      <c r="C121" s="3122"/>
      <c r="D121" s="290">
        <f t="shared" si="6"/>
        <v>107.19455259245055</v>
      </c>
      <c r="E121" s="312">
        <f>38.93+28.52+28.11+27.31+12.58+10.27+35.62</f>
        <v>181.34000000000003</v>
      </c>
      <c r="F121" s="1648">
        <v>20254732</v>
      </c>
      <c r="G121" s="1648">
        <v>14381795</v>
      </c>
      <c r="H121" s="1648">
        <v>21991860</v>
      </c>
      <c r="I121" s="1648">
        <v>12143448</v>
      </c>
      <c r="J121" s="1815">
        <v>2886783</v>
      </c>
      <c r="K121" s="1814">
        <v>3896534</v>
      </c>
      <c r="L121" s="1814">
        <v>17608864</v>
      </c>
      <c r="M121" s="8"/>
      <c r="N121" s="427"/>
      <c r="O121" s="1321"/>
      <c r="P121" s="1322"/>
      <c r="Q121" s="1323"/>
      <c r="R121" s="1319"/>
    </row>
    <row r="122" spans="1:18" ht="18" customHeight="1" x14ac:dyDescent="0.2">
      <c r="A122" s="1320"/>
      <c r="B122" s="497" t="s">
        <v>1604</v>
      </c>
      <c r="C122" s="3122"/>
      <c r="D122" s="290">
        <f t="shared" si="6"/>
        <v>107.79722063441362</v>
      </c>
      <c r="E122" s="312">
        <f>36.69+26.61+37.63+23.54+8.67+8.38+31.92</f>
        <v>173.44</v>
      </c>
      <c r="F122" s="1863">
        <v>19698463</v>
      </c>
      <c r="G122" s="1863">
        <v>14512467</v>
      </c>
      <c r="H122" s="1863">
        <v>21442086</v>
      </c>
      <c r="I122" s="1863">
        <v>12234859</v>
      </c>
      <c r="J122" s="1864">
        <v>3438262</v>
      </c>
      <c r="K122" s="1814">
        <v>3553485</v>
      </c>
      <c r="L122" s="1814">
        <v>17173607</v>
      </c>
      <c r="M122" s="8"/>
      <c r="N122" s="427"/>
      <c r="O122" s="1321"/>
      <c r="P122" s="1322"/>
      <c r="Q122" s="1323"/>
      <c r="R122" s="1319"/>
    </row>
    <row r="123" spans="1:18" ht="18" customHeight="1" x14ac:dyDescent="0.2">
      <c r="A123" s="1320"/>
      <c r="B123" s="1702" t="s">
        <v>1969</v>
      </c>
      <c r="C123" s="301"/>
      <c r="D123" s="290">
        <f t="shared" si="6"/>
        <v>108.17658501272042</v>
      </c>
      <c r="E123" s="312">
        <f>64.29+58.78+60.39+49.44+10.64+20.51+63.72</f>
        <v>327.77</v>
      </c>
      <c r="F123" s="308">
        <v>19347648</v>
      </c>
      <c r="G123" s="308">
        <v>14466136</v>
      </c>
      <c r="H123" s="308">
        <v>20990360</v>
      </c>
      <c r="I123" s="308">
        <v>12119924</v>
      </c>
      <c r="J123" s="392">
        <v>3727216</v>
      </c>
      <c r="K123" s="315">
        <v>3468304</v>
      </c>
      <c r="L123" s="315">
        <v>17129948</v>
      </c>
      <c r="M123" s="8"/>
      <c r="N123" s="427"/>
      <c r="O123" s="1321"/>
      <c r="P123" s="1322"/>
      <c r="Q123" s="1323"/>
      <c r="R123" s="1319"/>
    </row>
    <row r="124" spans="1:18" ht="18" customHeight="1" x14ac:dyDescent="0.2">
      <c r="A124" s="1320"/>
      <c r="B124" s="1500" t="s">
        <v>1754</v>
      </c>
      <c r="C124" s="2320"/>
      <c r="D124" s="290">
        <f t="shared" si="6"/>
        <v>111.91698932278406</v>
      </c>
      <c r="E124" s="204">
        <f>335.2+245.6+243+242+80+69.6+316.2</f>
        <v>1531.6</v>
      </c>
      <c r="F124" s="1812">
        <v>19829154</v>
      </c>
      <c r="G124" s="1812">
        <v>15176279</v>
      </c>
      <c r="H124" s="1812">
        <v>21940549</v>
      </c>
      <c r="I124" s="1812">
        <v>12797399</v>
      </c>
      <c r="J124" s="392">
        <v>3519625</v>
      </c>
      <c r="K124" s="1814">
        <v>3856083</v>
      </c>
      <c r="L124" s="1814">
        <v>17885657</v>
      </c>
      <c r="M124" s="8"/>
      <c r="N124" s="427"/>
      <c r="O124" s="1321"/>
      <c r="P124" s="1322"/>
      <c r="Q124" s="1323"/>
      <c r="R124" s="1319"/>
    </row>
    <row r="125" spans="1:18" ht="18" customHeight="1" x14ac:dyDescent="0.2">
      <c r="A125" s="1320"/>
      <c r="B125" s="1408" t="s">
        <v>2069</v>
      </c>
      <c r="C125" s="1567" t="s">
        <v>40</v>
      </c>
      <c r="D125" s="290">
        <f t="shared" si="6"/>
        <v>112.16622272187115</v>
      </c>
      <c r="E125" s="204">
        <f>264.2+175.9+236.6+161.4+62.2+46.3+263.8</f>
        <v>1210.4000000000001</v>
      </c>
      <c r="F125" s="177">
        <v>20438546</v>
      </c>
      <c r="G125" s="395">
        <v>15671410</v>
      </c>
      <c r="H125" s="395">
        <v>22693179</v>
      </c>
      <c r="I125" s="395">
        <v>13112876</v>
      </c>
      <c r="J125" s="1718">
        <v>2943725</v>
      </c>
      <c r="K125" s="315">
        <v>4079512</v>
      </c>
      <c r="L125" s="315">
        <v>18478057</v>
      </c>
      <c r="M125" s="8"/>
      <c r="N125" s="427"/>
      <c r="O125" s="1321"/>
      <c r="P125" s="1322"/>
      <c r="Q125" s="1323"/>
      <c r="R125" s="1319"/>
    </row>
    <row r="126" spans="1:18" ht="18" customHeight="1" x14ac:dyDescent="0.2">
      <c r="A126" s="1320"/>
      <c r="B126" s="2496" t="s">
        <v>2249</v>
      </c>
      <c r="C126" s="323" t="s">
        <v>40</v>
      </c>
      <c r="D126" s="290">
        <f t="shared" si="6"/>
        <v>112.16623676557647</v>
      </c>
      <c r="E126" s="164">
        <f>175.9+125.5+153.1+114.6+45.1+39+147.9</f>
        <v>801.1</v>
      </c>
      <c r="F126" s="298">
        <v>20438547</v>
      </c>
      <c r="G126" s="299">
        <v>15671411</v>
      </c>
      <c r="H126" s="299">
        <v>22693180</v>
      </c>
      <c r="I126" s="299">
        <v>13112877</v>
      </c>
      <c r="J126" s="300">
        <v>2943726</v>
      </c>
      <c r="K126" s="172">
        <v>4079513</v>
      </c>
      <c r="L126" s="172">
        <v>18478058</v>
      </c>
      <c r="M126" s="8"/>
      <c r="N126" s="427"/>
      <c r="O126" s="1321"/>
      <c r="P126" s="1322"/>
      <c r="Q126" s="1323"/>
      <c r="R126" s="1319"/>
    </row>
    <row r="127" spans="1:18" ht="18" customHeight="1" x14ac:dyDescent="0.2">
      <c r="A127" s="1320"/>
      <c r="B127" s="494" t="s">
        <v>2070</v>
      </c>
      <c r="C127" s="1567" t="s">
        <v>40</v>
      </c>
      <c r="D127" s="290">
        <f t="shared" si="6"/>
        <v>113.06399558087723</v>
      </c>
      <c r="E127" s="312">
        <f>232.1+158.2+210.3+158.9+54.5+43.6+226.5</f>
        <v>1084.0999999999999</v>
      </c>
      <c r="F127" s="174">
        <v>21265701</v>
      </c>
      <c r="G127" s="1568">
        <v>16071568</v>
      </c>
      <c r="H127" s="1568">
        <v>22662099</v>
      </c>
      <c r="I127" s="1568">
        <v>13119241</v>
      </c>
      <c r="J127" s="1565">
        <v>2882504</v>
      </c>
      <c r="K127" s="315">
        <v>4066283</v>
      </c>
      <c r="L127" s="315">
        <v>18755705</v>
      </c>
      <c r="M127" s="8"/>
      <c r="N127" s="427"/>
      <c r="O127" s="1321"/>
      <c r="P127" s="1322"/>
      <c r="Q127" s="1323"/>
      <c r="R127" s="1319"/>
    </row>
    <row r="128" spans="1:18" ht="18" x14ac:dyDescent="0.2">
      <c r="A128" s="1320"/>
      <c r="B128" s="495" t="s">
        <v>1954</v>
      </c>
      <c r="C128" s="301"/>
      <c r="D128" s="290">
        <f t="shared" si="6"/>
        <v>113.9902107882895</v>
      </c>
      <c r="E128" s="164">
        <f>25295.96+17493.41+16650.93+16189.93+0+6188.84+8122.71+19806.81</f>
        <v>109748.59</v>
      </c>
      <c r="F128" s="174">
        <v>19950375</v>
      </c>
      <c r="G128" s="175">
        <v>15069233</v>
      </c>
      <c r="H128" s="175">
        <v>21995437</v>
      </c>
      <c r="I128" s="175">
        <v>12773516</v>
      </c>
      <c r="J128" s="176">
        <v>3935997</v>
      </c>
      <c r="K128" s="172">
        <v>3842807</v>
      </c>
      <c r="L128" s="172">
        <v>17791085</v>
      </c>
      <c r="M128" s="8"/>
      <c r="N128" s="427"/>
      <c r="O128" s="1321"/>
      <c r="P128" s="1322"/>
      <c r="Q128" s="1323"/>
      <c r="R128" s="1319"/>
    </row>
    <row r="129" spans="1:18" ht="18" x14ac:dyDescent="0.2">
      <c r="A129" s="1320"/>
      <c r="B129" s="502" t="s">
        <v>2071</v>
      </c>
      <c r="C129" s="3364"/>
      <c r="D129" s="290">
        <f t="shared" si="6"/>
        <v>115.15996116412173</v>
      </c>
      <c r="E129" s="164">
        <f>4.21+2.99+3.06+3.09+1.23+4.06</f>
        <v>18.64</v>
      </c>
      <c r="F129" s="302">
        <v>20674417</v>
      </c>
      <c r="G129" s="303">
        <v>15375974</v>
      </c>
      <c r="H129" s="303">
        <v>22234254</v>
      </c>
      <c r="I129" s="304">
        <v>13180970</v>
      </c>
      <c r="J129" s="172">
        <v>3778363</v>
      </c>
      <c r="K129" s="172">
        <v>3841788</v>
      </c>
      <c r="L129" s="172">
        <v>18333853</v>
      </c>
      <c r="M129" s="8"/>
      <c r="N129" s="427"/>
      <c r="O129" s="1321"/>
      <c r="P129" s="1322"/>
      <c r="Q129" s="1323"/>
      <c r="R129" s="1319"/>
    </row>
    <row r="130" spans="1:18" ht="18" x14ac:dyDescent="0.2">
      <c r="A130" s="1320"/>
      <c r="B130" s="4592" t="s">
        <v>1980</v>
      </c>
      <c r="C130" s="1562" t="s">
        <v>40</v>
      </c>
      <c r="D130" s="290">
        <f t="shared" si="6"/>
        <v>116.45215695351472</v>
      </c>
      <c r="E130" s="164">
        <f>311.8+235.9+306.9+226+80.4+71.1+325.6</f>
        <v>1557.6999999999998</v>
      </c>
      <c r="F130" s="302">
        <v>21526894</v>
      </c>
      <c r="G130" s="303">
        <v>16227176</v>
      </c>
      <c r="H130" s="303">
        <v>23098141</v>
      </c>
      <c r="I130" s="305">
        <v>13322819</v>
      </c>
      <c r="J130" s="306">
        <v>3192733</v>
      </c>
      <c r="K130" s="306">
        <v>4219914</v>
      </c>
      <c r="L130" s="306">
        <v>18975671</v>
      </c>
      <c r="M130" s="8"/>
      <c r="N130" s="427"/>
      <c r="O130" s="1321"/>
      <c r="P130" s="1322"/>
      <c r="Q130" s="1323"/>
      <c r="R130" s="1319"/>
    </row>
    <row r="131" spans="1:18" ht="18" x14ac:dyDescent="0.2">
      <c r="A131" s="1320"/>
      <c r="B131" s="1408" t="s">
        <v>1981</v>
      </c>
      <c r="C131" s="1569" t="s">
        <v>40</v>
      </c>
      <c r="D131" s="290">
        <f t="shared" si="6"/>
        <v>116.73024485264736</v>
      </c>
      <c r="E131" s="312">
        <f>211.9+154.1+199.1+140.5+51.3+44.9+197</f>
        <v>998.8</v>
      </c>
      <c r="F131" s="302">
        <v>21512443</v>
      </c>
      <c r="G131" s="308">
        <v>16283857</v>
      </c>
      <c r="H131" s="308">
        <v>23073396</v>
      </c>
      <c r="I131" s="1580">
        <v>13362715</v>
      </c>
      <c r="J131" s="315">
        <v>3190350</v>
      </c>
      <c r="K131" s="315">
        <v>4247257</v>
      </c>
      <c r="L131" s="315">
        <v>19090589</v>
      </c>
      <c r="M131" s="8"/>
      <c r="N131" s="427"/>
      <c r="O131" s="1321"/>
      <c r="P131" s="1322"/>
      <c r="Q131" s="1323"/>
      <c r="R131" s="1319"/>
    </row>
    <row r="132" spans="1:18" ht="18" x14ac:dyDescent="0.2">
      <c r="A132" s="1320"/>
      <c r="B132" s="1408" t="s">
        <v>1993</v>
      </c>
      <c r="C132" s="1569" t="s">
        <v>40</v>
      </c>
      <c r="D132" s="290">
        <f t="shared" si="6"/>
        <v>116.73490359562315</v>
      </c>
      <c r="E132" s="312">
        <f>238.1+189.6+204.9+179.5+70.3+69+229.1</f>
        <v>1180.5</v>
      </c>
      <c r="F132" s="302">
        <v>21741464</v>
      </c>
      <c r="G132" s="308">
        <v>16408954</v>
      </c>
      <c r="H132" s="308">
        <v>23489385</v>
      </c>
      <c r="I132" s="1580">
        <v>13456819</v>
      </c>
      <c r="J132" s="315">
        <v>3031502</v>
      </c>
      <c r="K132" s="315">
        <v>4263355</v>
      </c>
      <c r="L132" s="315">
        <v>19179882</v>
      </c>
      <c r="M132" s="8"/>
      <c r="N132" s="427"/>
      <c r="O132" s="1321"/>
      <c r="P132" s="1322"/>
      <c r="Q132" s="1323"/>
      <c r="R132" s="1319"/>
    </row>
    <row r="133" spans="1:18" ht="18" x14ac:dyDescent="0.2">
      <c r="A133" s="1320"/>
      <c r="B133" s="1408" t="s">
        <v>1982</v>
      </c>
      <c r="C133" s="323" t="s">
        <v>40</v>
      </c>
      <c r="D133" s="1594">
        <f t="shared" si="6"/>
        <v>116.75873548992645</v>
      </c>
      <c r="E133" s="312">
        <f>340.6+243.4+340.5+226.7+74.7+74.3+336.4</f>
        <v>1636.6</v>
      </c>
      <c r="F133" s="1811">
        <v>21670893</v>
      </c>
      <c r="G133" s="1812">
        <v>16014145</v>
      </c>
      <c r="H133" s="1812">
        <v>22781555</v>
      </c>
      <c r="I133" s="1813">
        <v>13273306</v>
      </c>
      <c r="J133" s="1814">
        <v>3379427</v>
      </c>
      <c r="K133" s="1814">
        <v>4176517</v>
      </c>
      <c r="L133" s="1814">
        <v>18831921</v>
      </c>
      <c r="M133" s="8"/>
      <c r="N133" s="427"/>
      <c r="O133" s="1321"/>
      <c r="P133" s="1322"/>
      <c r="Q133" s="1323"/>
      <c r="R133" s="1319"/>
    </row>
    <row r="134" spans="1:18" ht="18" x14ac:dyDescent="0.2">
      <c r="A134" s="1320"/>
      <c r="B134" s="1408" t="s">
        <v>1983</v>
      </c>
      <c r="C134" s="323" t="s">
        <v>40</v>
      </c>
      <c r="D134" s="1594">
        <f t="shared" si="6"/>
        <v>116.81872934954912</v>
      </c>
      <c r="E134" s="312">
        <f>171.9+120.7+153.6+112.9+42.9+36.2+157.8</f>
        <v>796</v>
      </c>
      <c r="F134" s="1811">
        <v>21673407</v>
      </c>
      <c r="G134" s="1812">
        <v>16020264</v>
      </c>
      <c r="H134" s="1812">
        <v>22786254</v>
      </c>
      <c r="I134" s="1813">
        <v>13280493</v>
      </c>
      <c r="J134" s="1814">
        <v>3381775</v>
      </c>
      <c r="K134" s="1814">
        <v>4182300</v>
      </c>
      <c r="L134" s="1814">
        <v>18835609</v>
      </c>
      <c r="M134" s="8"/>
      <c r="N134" s="427"/>
      <c r="O134" s="1321"/>
      <c r="P134" s="1322"/>
      <c r="Q134" s="1323"/>
      <c r="R134" s="1319"/>
    </row>
    <row r="135" spans="1:18" ht="18" x14ac:dyDescent="0.2">
      <c r="A135" s="1320"/>
      <c r="B135" s="1408" t="s">
        <v>1984</v>
      </c>
      <c r="C135" s="1567" t="s">
        <v>40</v>
      </c>
      <c r="D135" s="290">
        <f t="shared" si="6"/>
        <v>117.09303552066316</v>
      </c>
      <c r="E135" s="312">
        <f>197.6+139.4+181+137.4+49.6+42.9+184.1</f>
        <v>932</v>
      </c>
      <c r="F135" s="302">
        <v>22027379</v>
      </c>
      <c r="G135" s="308">
        <v>16236898</v>
      </c>
      <c r="H135" s="308">
        <v>23247697</v>
      </c>
      <c r="I135" s="1637">
        <v>13490098</v>
      </c>
      <c r="J135" s="315">
        <v>3148835</v>
      </c>
      <c r="K135" s="315">
        <v>4227914</v>
      </c>
      <c r="L135" s="315">
        <v>19131477</v>
      </c>
      <c r="M135" s="8"/>
      <c r="N135" s="427"/>
      <c r="O135" s="1321"/>
      <c r="P135" s="1322"/>
      <c r="Q135" s="1323"/>
      <c r="R135" s="1319"/>
    </row>
    <row r="136" spans="1:18" ht="18" x14ac:dyDescent="0.2">
      <c r="A136" s="1320"/>
      <c r="B136" s="1408" t="s">
        <v>1985</v>
      </c>
      <c r="C136" s="1569" t="s">
        <v>40</v>
      </c>
      <c r="D136" s="290">
        <f t="shared" si="6"/>
        <v>117.14848846520644</v>
      </c>
      <c r="E136" s="312">
        <f>200.7+152.2+189.2+138.5+51.5+44.5+187</f>
        <v>963.59999999999991</v>
      </c>
      <c r="F136" s="302">
        <v>21748608</v>
      </c>
      <c r="G136" s="308">
        <v>16465782</v>
      </c>
      <c r="H136" s="308">
        <v>23492937</v>
      </c>
      <c r="I136" s="1580">
        <v>13514346</v>
      </c>
      <c r="J136" s="315">
        <v>3046594</v>
      </c>
      <c r="K136" s="315">
        <v>4280753</v>
      </c>
      <c r="L136" s="315">
        <v>19324459</v>
      </c>
      <c r="M136" s="8"/>
      <c r="N136" s="427"/>
      <c r="O136" s="1321"/>
      <c r="P136" s="1322"/>
      <c r="Q136" s="1323"/>
      <c r="R136" s="1319"/>
    </row>
    <row r="137" spans="1:18" ht="18" x14ac:dyDescent="0.2">
      <c r="A137" s="1320"/>
      <c r="B137" s="1632" t="s">
        <v>1717</v>
      </c>
      <c r="C137" s="1595"/>
      <c r="D137" s="290">
        <f t="shared" si="6"/>
        <v>118.01762615725599</v>
      </c>
      <c r="E137" s="312">
        <f>63.06+42.52+43.56+41.83+18.08+15.11+56.91</f>
        <v>281.07000000000005</v>
      </c>
      <c r="F137" s="302">
        <v>20453669</v>
      </c>
      <c r="G137" s="308">
        <v>15376736</v>
      </c>
      <c r="H137" s="308">
        <v>22238844</v>
      </c>
      <c r="I137" s="1580">
        <v>13059632</v>
      </c>
      <c r="J137" s="315">
        <v>4296095</v>
      </c>
      <c r="K137" s="315">
        <v>3926848</v>
      </c>
      <c r="L137" s="315">
        <v>18415964</v>
      </c>
      <c r="M137" s="8"/>
      <c r="N137" s="427"/>
      <c r="O137" s="1321"/>
      <c r="P137" s="1322"/>
      <c r="Q137" s="1323"/>
      <c r="R137" s="1319"/>
    </row>
    <row r="138" spans="1:18" ht="18" x14ac:dyDescent="0.2">
      <c r="A138" s="1320"/>
      <c r="B138" s="1408" t="s">
        <v>1986</v>
      </c>
      <c r="C138" s="1569" t="s">
        <v>40</v>
      </c>
      <c r="D138" s="290">
        <f t="shared" si="6"/>
        <v>118.17994575666246</v>
      </c>
      <c r="E138" s="1362">
        <f>248.5+185.4+233.5+179.4+69.8+54.7+239.9</f>
        <v>1211.2</v>
      </c>
      <c r="F138" s="302">
        <v>21831821</v>
      </c>
      <c r="G138" s="308">
        <v>16462266</v>
      </c>
      <c r="H138" s="308">
        <v>23528409</v>
      </c>
      <c r="I138" s="1580">
        <v>13520880</v>
      </c>
      <c r="J138" s="315">
        <v>3224105</v>
      </c>
      <c r="K138" s="315">
        <v>4279599</v>
      </c>
      <c r="L138" s="315">
        <v>19321489</v>
      </c>
      <c r="M138" s="8"/>
      <c r="N138" s="427"/>
      <c r="O138" s="1321"/>
      <c r="P138" s="1322"/>
      <c r="Q138" s="1323"/>
      <c r="R138" s="1319"/>
    </row>
    <row r="139" spans="1:18" ht="18" x14ac:dyDescent="0.2">
      <c r="A139" s="1320"/>
      <c r="B139" s="2498" t="s">
        <v>2783</v>
      </c>
      <c r="C139" s="3121"/>
      <c r="D139" s="290">
        <f t="shared" si="6"/>
        <v>118.34386330419015</v>
      </c>
      <c r="E139" s="312">
        <f>891+1110.6+1359.9+695.3+583.4+451.2+752.7</f>
        <v>5844.0999999999995</v>
      </c>
      <c r="F139" s="302">
        <v>24952182</v>
      </c>
      <c r="G139" s="308">
        <v>13737669</v>
      </c>
      <c r="H139" s="308">
        <v>21379141</v>
      </c>
      <c r="I139" s="1650">
        <v>16937163</v>
      </c>
      <c r="J139" s="315">
        <v>2729263</v>
      </c>
      <c r="K139" s="315">
        <v>3593505</v>
      </c>
      <c r="L139" s="315">
        <v>23116880</v>
      </c>
      <c r="M139" s="8"/>
      <c r="N139" s="427"/>
      <c r="O139" s="1321"/>
      <c r="P139" s="1322"/>
      <c r="Q139" s="1323"/>
      <c r="R139" s="1319"/>
    </row>
    <row r="140" spans="1:18" ht="18" x14ac:dyDescent="0.2">
      <c r="A140" s="1320"/>
      <c r="B140" s="1408" t="s">
        <v>2621</v>
      </c>
      <c r="C140" s="1567"/>
      <c r="D140" s="1594">
        <f t="shared" si="6"/>
        <v>118.46394229492054</v>
      </c>
      <c r="E140" s="312">
        <f>1170.6+1205.2+1177.7+668.9+525.2+445.9+928.5</f>
        <v>6121.9999999999991</v>
      </c>
      <c r="F140" s="302">
        <v>24952182</v>
      </c>
      <c r="G140" s="308">
        <v>13789698</v>
      </c>
      <c r="H140" s="308">
        <v>21410044</v>
      </c>
      <c r="I140" s="1659">
        <v>16937639</v>
      </c>
      <c r="J140" s="315">
        <v>2724269</v>
      </c>
      <c r="K140" s="315">
        <v>3610729</v>
      </c>
      <c r="L140" s="315">
        <v>23116880</v>
      </c>
      <c r="M140" s="8"/>
      <c r="N140" s="427"/>
      <c r="O140" s="1321"/>
      <c r="P140" s="1322"/>
      <c r="Q140" s="1323"/>
      <c r="R140" s="1319"/>
    </row>
    <row r="141" spans="1:18" ht="18" x14ac:dyDescent="0.2">
      <c r="A141" s="1320"/>
      <c r="B141" s="1408" t="s">
        <v>1987</v>
      </c>
      <c r="C141" s="1567" t="s">
        <v>40</v>
      </c>
      <c r="D141" s="1594">
        <f t="shared" si="6"/>
        <v>118.54986747945904</v>
      </c>
      <c r="E141" s="312">
        <f>231.2+161.8+208.3+153.3+52.9+47.1+205.2</f>
        <v>1059.8</v>
      </c>
      <c r="F141" s="302">
        <v>22027571</v>
      </c>
      <c r="G141" s="308">
        <v>16236992</v>
      </c>
      <c r="H141" s="308">
        <v>23247880</v>
      </c>
      <c r="I141" s="1659">
        <v>13490309</v>
      </c>
      <c r="J141" s="315">
        <v>3422055</v>
      </c>
      <c r="K141" s="315">
        <v>4228070</v>
      </c>
      <c r="L141" s="315">
        <v>19131726</v>
      </c>
      <c r="M141" s="8"/>
      <c r="N141" s="427"/>
      <c r="O141" s="1321"/>
      <c r="P141" s="1322"/>
      <c r="Q141" s="1323"/>
      <c r="R141" s="1319"/>
    </row>
    <row r="142" spans="1:18" ht="18" x14ac:dyDescent="0.2">
      <c r="A142" s="1320"/>
      <c r="B142" s="2169" t="s">
        <v>1716</v>
      </c>
      <c r="C142" s="1596"/>
      <c r="D142" s="1594">
        <f t="shared" si="6"/>
        <v>119.37233640301143</v>
      </c>
      <c r="E142" s="312"/>
      <c r="F142" s="302">
        <v>21868686</v>
      </c>
      <c r="G142" s="308">
        <v>15727172</v>
      </c>
      <c r="H142" s="308">
        <v>23286453</v>
      </c>
      <c r="I142" s="1659">
        <v>13622178</v>
      </c>
      <c r="J142" s="315">
        <v>3779762</v>
      </c>
      <c r="K142" s="315">
        <v>4159001</v>
      </c>
      <c r="L142" s="315">
        <v>18732298</v>
      </c>
      <c r="M142" s="8"/>
      <c r="N142" s="427"/>
      <c r="O142" s="1321"/>
      <c r="P142" s="1322"/>
      <c r="Q142" s="1323"/>
      <c r="R142" s="1319"/>
    </row>
    <row r="143" spans="1:18" ht="18" x14ac:dyDescent="0.2">
      <c r="A143" s="1320"/>
      <c r="B143" s="500" t="s">
        <v>1970</v>
      </c>
      <c r="C143" s="1595"/>
      <c r="D143" s="290">
        <f t="shared" si="6"/>
        <v>120.87406847759166</v>
      </c>
      <c r="E143" s="312">
        <f>6.28+4.43+4.73+4.48+2.14+1.71+5.88</f>
        <v>29.650000000000002</v>
      </c>
      <c r="F143" s="302">
        <v>21364656</v>
      </c>
      <c r="G143" s="308">
        <v>15869204</v>
      </c>
      <c r="H143" s="308">
        <v>22871180</v>
      </c>
      <c r="I143" s="1650">
        <v>13596580</v>
      </c>
      <c r="J143" s="315">
        <v>4198872</v>
      </c>
      <c r="K143" s="315">
        <v>4137888</v>
      </c>
      <c r="L143" s="315">
        <v>18630380</v>
      </c>
      <c r="M143" s="8"/>
      <c r="N143" s="427"/>
      <c r="O143" s="1321"/>
      <c r="P143" s="1322"/>
      <c r="Q143" s="1323"/>
      <c r="R143" s="1319"/>
    </row>
    <row r="144" spans="1:18" ht="18" x14ac:dyDescent="0.2">
      <c r="A144" s="1320"/>
      <c r="B144" s="2169" t="s">
        <v>1715</v>
      </c>
      <c r="C144" s="1595"/>
      <c r="D144" s="290">
        <f t="shared" si="6"/>
        <v>121.7149612089991</v>
      </c>
      <c r="E144" s="312"/>
      <c r="F144" s="302">
        <v>22060363</v>
      </c>
      <c r="G144" s="308">
        <v>16150521</v>
      </c>
      <c r="H144" s="308">
        <v>23384791</v>
      </c>
      <c r="I144" s="1580">
        <v>13893099</v>
      </c>
      <c r="J144" s="315">
        <v>3830395</v>
      </c>
      <c r="K144" s="315">
        <v>4271589</v>
      </c>
      <c r="L144" s="315">
        <v>19457666</v>
      </c>
      <c r="M144" s="8"/>
      <c r="N144" s="427"/>
      <c r="O144" s="1321"/>
      <c r="P144" s="1322"/>
      <c r="Q144" s="1323"/>
      <c r="R144" s="1319"/>
    </row>
    <row r="145" spans="1:18" ht="18" x14ac:dyDescent="0.2">
      <c r="A145" s="1320"/>
      <c r="B145" s="1376" t="s">
        <v>1906</v>
      </c>
      <c r="C145" s="1542"/>
      <c r="D145" s="290">
        <f t="shared" si="6"/>
        <v>122.4145439236797</v>
      </c>
      <c r="E145" s="164">
        <f>56.5+46.19+52.06+39.3+12.32+22.86+46.52</f>
        <v>275.75</v>
      </c>
      <c r="F145" s="302">
        <v>21884064</v>
      </c>
      <c r="G145" s="308">
        <v>15955259</v>
      </c>
      <c r="H145" s="308">
        <v>23213980</v>
      </c>
      <c r="I145" s="309">
        <v>13789263</v>
      </c>
      <c r="J145" s="310">
        <v>4167615</v>
      </c>
      <c r="K145" s="310">
        <v>4266722</v>
      </c>
      <c r="L145" s="310">
        <v>18877397</v>
      </c>
      <c r="M145" s="8"/>
      <c r="N145" s="427"/>
      <c r="O145" s="1321"/>
      <c r="P145" s="1322"/>
      <c r="Q145" s="1323"/>
      <c r="R145" s="1319"/>
    </row>
    <row r="146" spans="1:18" ht="18" x14ac:dyDescent="0.2">
      <c r="A146" s="1320"/>
      <c r="B146" s="1408" t="s">
        <v>1956</v>
      </c>
      <c r="C146" s="301"/>
      <c r="D146" s="290">
        <f t="shared" ref="D146:D168" si="7">SUM(F146/F$102,G146/G$102,H146/H$102,I146/I$102,J146/J$102,K146/K$102,L146/L$102)/7*100</f>
        <v>122.61318448912708</v>
      </c>
      <c r="E146" s="1362">
        <f>738.63+513.67+487.04+467.64+222.51+192.09+629.37</f>
        <v>3250.95</v>
      </c>
      <c r="F146" s="302">
        <v>21415674</v>
      </c>
      <c r="G146" s="308">
        <v>16239041</v>
      </c>
      <c r="H146" s="308">
        <v>23012912</v>
      </c>
      <c r="I146" s="1407">
        <v>13756290</v>
      </c>
      <c r="J146" s="315">
        <v>4255074</v>
      </c>
      <c r="K146" s="315">
        <v>4190855</v>
      </c>
      <c r="L146" s="315">
        <v>19222466</v>
      </c>
      <c r="M146" s="8"/>
      <c r="N146" s="427"/>
      <c r="O146" s="1321"/>
      <c r="P146" s="1322"/>
      <c r="Q146" s="1323"/>
      <c r="R146" s="1319"/>
    </row>
    <row r="147" spans="1:18" ht="18" x14ac:dyDescent="0.2">
      <c r="A147" s="1320"/>
      <c r="B147" s="501" t="s">
        <v>1905</v>
      </c>
      <c r="C147" s="301"/>
      <c r="D147" s="290">
        <f t="shared" si="7"/>
        <v>122.7325027470395</v>
      </c>
      <c r="E147" s="164">
        <f>57.83+46.11+51.42+39.28+12.4+22.65+46.91</f>
        <v>276.60000000000002</v>
      </c>
      <c r="F147" s="302">
        <v>21920208</v>
      </c>
      <c r="G147" s="303">
        <v>15987898</v>
      </c>
      <c r="H147" s="303">
        <v>23278526</v>
      </c>
      <c r="I147" s="305">
        <v>13835144</v>
      </c>
      <c r="J147" s="297">
        <v>4174165</v>
      </c>
      <c r="K147" s="297">
        <v>4278640</v>
      </c>
      <c r="L147" s="297">
        <v>18960724</v>
      </c>
      <c r="M147" s="8"/>
      <c r="N147" s="427"/>
      <c r="O147" s="1321"/>
      <c r="P147" s="1322"/>
      <c r="Q147" s="1323"/>
      <c r="R147" s="1319"/>
    </row>
    <row r="148" spans="1:18" ht="18" x14ac:dyDescent="0.2">
      <c r="A148" s="1320"/>
      <c r="B148" s="2170" t="s">
        <v>1718</v>
      </c>
      <c r="C148" s="301"/>
      <c r="D148" s="290">
        <f t="shared" si="7"/>
        <v>123.21761826042288</v>
      </c>
      <c r="E148" s="312">
        <f>38+27+27+26+13+10+35</f>
        <v>176</v>
      </c>
      <c r="F148" s="302">
        <v>22159805</v>
      </c>
      <c r="G148" s="308">
        <v>16136255</v>
      </c>
      <c r="H148" s="308">
        <v>22912266</v>
      </c>
      <c r="I148" s="1543">
        <v>13696442</v>
      </c>
      <c r="J148" s="315">
        <v>4265713</v>
      </c>
      <c r="K148" s="315">
        <v>4260491</v>
      </c>
      <c r="L148" s="315">
        <v>19145566</v>
      </c>
      <c r="M148" s="8"/>
      <c r="N148" s="427"/>
      <c r="O148" s="1321"/>
      <c r="P148" s="1322"/>
      <c r="Q148" s="1323"/>
      <c r="R148" s="1319"/>
    </row>
    <row r="149" spans="1:18" ht="18" x14ac:dyDescent="0.2">
      <c r="A149" s="1320"/>
      <c r="B149" s="501" t="s">
        <v>1719</v>
      </c>
      <c r="C149" s="301"/>
      <c r="D149" s="290">
        <f t="shared" si="7"/>
        <v>123.61708942093669</v>
      </c>
      <c r="E149" s="312">
        <f>6.219+4.721+5.89+4.282+2.089+1.817+6.054</f>
        <v>31.072000000000003</v>
      </c>
      <c r="F149" s="302">
        <v>21655788</v>
      </c>
      <c r="G149" s="308">
        <v>16341970</v>
      </c>
      <c r="H149" s="308">
        <v>22741774</v>
      </c>
      <c r="I149" s="1543">
        <v>13782990</v>
      </c>
      <c r="J149" s="315">
        <v>4333733</v>
      </c>
      <c r="K149" s="315">
        <v>4249768</v>
      </c>
      <c r="L149" s="315">
        <v>19459416</v>
      </c>
      <c r="M149" s="8"/>
      <c r="N149" s="427"/>
      <c r="O149" s="1321"/>
      <c r="P149" s="1322"/>
      <c r="Q149" s="1323"/>
      <c r="R149" s="1319"/>
    </row>
    <row r="150" spans="1:18" ht="18" x14ac:dyDescent="0.2">
      <c r="A150" s="1320"/>
      <c r="B150" s="501" t="s">
        <v>1720</v>
      </c>
      <c r="C150" s="301"/>
      <c r="D150" s="290">
        <f t="shared" si="7"/>
        <v>123.96817211693273</v>
      </c>
      <c r="E150" s="312">
        <f>55+42+39+39+20+15+51</f>
        <v>261</v>
      </c>
      <c r="F150" s="302">
        <v>22272365</v>
      </c>
      <c r="G150" s="308">
        <v>16462697</v>
      </c>
      <c r="H150" s="308">
        <v>23126568</v>
      </c>
      <c r="I150" s="1533">
        <v>13982858</v>
      </c>
      <c r="J150" s="315">
        <v>4110146</v>
      </c>
      <c r="K150" s="315">
        <v>4334147</v>
      </c>
      <c r="L150" s="315">
        <v>19551578</v>
      </c>
      <c r="M150" s="8"/>
      <c r="N150" s="427"/>
      <c r="O150" s="1321"/>
      <c r="P150" s="1322"/>
      <c r="Q150" s="1323"/>
      <c r="R150" s="1319"/>
    </row>
    <row r="151" spans="1:18" ht="18" x14ac:dyDescent="0.2">
      <c r="A151" s="1320"/>
      <c r="B151" s="3120" t="s">
        <v>1721</v>
      </c>
      <c r="C151" s="328"/>
      <c r="D151" s="290">
        <f t="shared" si="7"/>
        <v>124.07622900036068</v>
      </c>
      <c r="E151" s="312">
        <f>24.17+16.34+17.21+15.84+7+5.65+21.39</f>
        <v>107.60000000000001</v>
      </c>
      <c r="F151" s="302">
        <v>21484202</v>
      </c>
      <c r="G151" s="308">
        <v>15945381</v>
      </c>
      <c r="H151" s="308">
        <v>23189222</v>
      </c>
      <c r="I151" s="1533">
        <v>13724098</v>
      </c>
      <c r="J151" s="315">
        <v>4493652</v>
      </c>
      <c r="K151" s="315">
        <v>4285410</v>
      </c>
      <c r="L151" s="315">
        <v>19193518</v>
      </c>
      <c r="M151" s="8"/>
      <c r="N151" s="427"/>
      <c r="O151" s="1321"/>
      <c r="P151" s="1322"/>
      <c r="Q151" s="1323"/>
      <c r="R151" s="1319"/>
    </row>
    <row r="152" spans="1:18" ht="18" x14ac:dyDescent="0.2">
      <c r="A152" s="1320"/>
      <c r="B152" s="1408" t="s">
        <v>1743</v>
      </c>
      <c r="C152" s="359"/>
      <c r="D152" s="290">
        <f t="shared" si="7"/>
        <v>124.499492662916</v>
      </c>
      <c r="E152" s="312">
        <f>8.92+6.38+6.76+6.23+3.29+2.83+7.83</f>
        <v>42.24</v>
      </c>
      <c r="F152" s="302">
        <v>22912232</v>
      </c>
      <c r="G152" s="308">
        <v>16739226</v>
      </c>
      <c r="H152" s="308">
        <v>23359139</v>
      </c>
      <c r="I152" s="1407">
        <v>13923766</v>
      </c>
      <c r="J152" s="315">
        <v>3875110</v>
      </c>
      <c r="K152" s="315">
        <v>4625675</v>
      </c>
      <c r="L152" s="315">
        <v>19214362</v>
      </c>
      <c r="M152" s="8"/>
      <c r="N152" s="427"/>
      <c r="O152" s="1321"/>
      <c r="P152" s="1322"/>
      <c r="Q152" s="1323"/>
      <c r="R152" s="1319"/>
    </row>
    <row r="153" spans="1:18" ht="18" x14ac:dyDescent="0.2">
      <c r="A153" s="1320"/>
      <c r="B153" s="1582" t="s">
        <v>1605</v>
      </c>
      <c r="C153" s="359" t="s">
        <v>40</v>
      </c>
      <c r="D153" s="290">
        <f t="shared" si="7"/>
        <v>124.83058515984875</v>
      </c>
      <c r="E153" s="312"/>
      <c r="F153" s="302">
        <v>21368081</v>
      </c>
      <c r="G153" s="308">
        <v>15975143</v>
      </c>
      <c r="H153" s="308">
        <v>23637705</v>
      </c>
      <c r="I153" s="1533">
        <v>13745407</v>
      </c>
      <c r="J153" s="315">
        <v>4619731</v>
      </c>
      <c r="K153" s="315">
        <v>4261898</v>
      </c>
      <c r="L153" s="315">
        <v>19082930</v>
      </c>
      <c r="M153" s="8"/>
      <c r="N153" s="427"/>
      <c r="O153" s="1321"/>
      <c r="P153" s="1322"/>
      <c r="Q153" s="1323"/>
      <c r="R153" s="1319"/>
    </row>
    <row r="154" spans="1:18" ht="18" x14ac:dyDescent="0.2">
      <c r="A154" s="1320"/>
      <c r="B154" s="518" t="s">
        <v>1606</v>
      </c>
      <c r="C154" s="201" t="s">
        <v>40</v>
      </c>
      <c r="D154" s="290">
        <f t="shared" si="7"/>
        <v>124.91166233253634</v>
      </c>
      <c r="E154" s="204"/>
      <c r="F154" s="302">
        <v>21330104</v>
      </c>
      <c r="G154" s="308">
        <v>15948623</v>
      </c>
      <c r="H154" s="308">
        <v>23613625</v>
      </c>
      <c r="I154" s="1369">
        <v>13721964</v>
      </c>
      <c r="J154" s="315">
        <v>4655754</v>
      </c>
      <c r="K154" s="315">
        <v>4270353</v>
      </c>
      <c r="L154" s="315">
        <v>19032323</v>
      </c>
      <c r="M154" s="8"/>
      <c r="N154" s="427"/>
      <c r="O154" s="1321"/>
      <c r="P154" s="1322"/>
      <c r="Q154" s="1323"/>
      <c r="R154" s="1319"/>
    </row>
    <row r="155" spans="1:18" ht="18" x14ac:dyDescent="0.2">
      <c r="A155" s="1320"/>
      <c r="B155" s="495" t="s">
        <v>1722</v>
      </c>
      <c r="C155" s="311"/>
      <c r="D155" s="290">
        <f t="shared" si="7"/>
        <v>125.0734792246418</v>
      </c>
      <c r="E155" s="164">
        <f>4.181+2.702+3.238+2.745+1.094+1.043+3.892</f>
        <v>18.895</v>
      </c>
      <c r="F155" s="302">
        <v>21844979</v>
      </c>
      <c r="G155" s="303">
        <v>16407176</v>
      </c>
      <c r="H155" s="303">
        <v>22827690</v>
      </c>
      <c r="I155" s="305">
        <v>13992743</v>
      </c>
      <c r="J155" s="297">
        <v>4436341</v>
      </c>
      <c r="K155" s="297">
        <v>4293100</v>
      </c>
      <c r="L155" s="297">
        <v>19689780</v>
      </c>
      <c r="M155" s="8"/>
      <c r="N155" s="427"/>
      <c r="O155" s="1321"/>
      <c r="P155" s="1322"/>
      <c r="Q155" s="1323"/>
      <c r="R155" s="1319"/>
    </row>
    <row r="156" spans="1:18" ht="18" x14ac:dyDescent="0.2">
      <c r="A156" s="1320"/>
      <c r="B156" s="503" t="s">
        <v>1723</v>
      </c>
      <c r="C156" s="311"/>
      <c r="D156" s="290">
        <f t="shared" si="7"/>
        <v>125.10124294925562</v>
      </c>
      <c r="E156" s="164">
        <f>4.155+3.158+3.322+2.668+1.065+0.962+3.482</f>
        <v>18.812000000000001</v>
      </c>
      <c r="F156" s="302">
        <v>22567517</v>
      </c>
      <c r="G156" s="303">
        <v>16456719</v>
      </c>
      <c r="H156" s="303">
        <v>22891996</v>
      </c>
      <c r="I156" s="305">
        <v>14142582</v>
      </c>
      <c r="J156" s="297">
        <v>4193161</v>
      </c>
      <c r="K156" s="297">
        <v>4484481</v>
      </c>
      <c r="L156" s="297">
        <v>19324061</v>
      </c>
      <c r="M156" s="8"/>
      <c r="N156" s="427"/>
      <c r="O156" s="1321"/>
      <c r="P156" s="1322"/>
      <c r="Q156" s="1323"/>
      <c r="R156" s="1319"/>
    </row>
    <row r="157" spans="1:18" ht="18" x14ac:dyDescent="0.2">
      <c r="A157" s="1320"/>
      <c r="B157" s="503" t="s">
        <v>561</v>
      </c>
      <c r="C157" s="359" t="s">
        <v>40</v>
      </c>
      <c r="D157" s="290">
        <f t="shared" si="7"/>
        <v>125.67172471819859</v>
      </c>
      <c r="E157" s="164">
        <f>13.379+9.023+9.193+8.815+4.306+3.543+11.643</f>
        <v>59.901999999999994</v>
      </c>
      <c r="F157" s="302">
        <v>22589106</v>
      </c>
      <c r="G157" s="303">
        <v>16093086</v>
      </c>
      <c r="H157" s="303">
        <v>24040325</v>
      </c>
      <c r="I157" s="305">
        <v>14187200</v>
      </c>
      <c r="J157" s="297">
        <v>4323726</v>
      </c>
      <c r="K157" s="297">
        <v>4337379</v>
      </c>
      <c r="L157" s="297">
        <v>19329564</v>
      </c>
      <c r="M157" s="8"/>
      <c r="N157" s="427"/>
      <c r="O157" s="1321"/>
      <c r="P157" s="1322"/>
      <c r="Q157" s="1323"/>
      <c r="R157" s="1319"/>
    </row>
    <row r="158" spans="1:18" ht="18" x14ac:dyDescent="0.2">
      <c r="A158" s="1320"/>
      <c r="B158" s="503" t="s">
        <v>1955</v>
      </c>
      <c r="C158" s="311"/>
      <c r="D158" s="290">
        <f t="shared" si="7"/>
        <v>126.34042275851802</v>
      </c>
      <c r="E158" s="164">
        <f>1882.36+1016.23+970.49+1141.74+818.32+337.14+1132.49</f>
        <v>7298.7699999999995</v>
      </c>
      <c r="F158" s="302">
        <v>21780740</v>
      </c>
      <c r="G158" s="303">
        <v>16638239</v>
      </c>
      <c r="H158" s="303">
        <v>23796896</v>
      </c>
      <c r="I158" s="305">
        <v>14085254</v>
      </c>
      <c r="J158" s="297">
        <v>4519423</v>
      </c>
      <c r="K158" s="297">
        <v>4297248</v>
      </c>
      <c r="L158" s="297">
        <v>19501239</v>
      </c>
      <c r="M158" s="8"/>
      <c r="N158" s="427"/>
      <c r="O158" s="1321"/>
      <c r="P158" s="1322"/>
      <c r="Q158" s="1323"/>
      <c r="R158" s="1319"/>
    </row>
    <row r="159" spans="1:18" ht="18" x14ac:dyDescent="0.2">
      <c r="A159" s="1320"/>
      <c r="B159" s="1704" t="s">
        <v>1322</v>
      </c>
      <c r="C159" s="311"/>
      <c r="D159" s="290">
        <f t="shared" si="7"/>
        <v>126.41994775652503</v>
      </c>
      <c r="E159" s="164">
        <f>6.829+4.516+5.186+4.546+1.881+1.515+6.045</f>
        <v>30.518000000000001</v>
      </c>
      <c r="F159" s="302">
        <v>21992588</v>
      </c>
      <c r="G159" s="303">
        <v>16074556</v>
      </c>
      <c r="H159" s="303">
        <v>24090983</v>
      </c>
      <c r="I159" s="305">
        <v>13855805</v>
      </c>
      <c r="J159" s="297">
        <v>4690536</v>
      </c>
      <c r="K159" s="297">
        <v>4304597</v>
      </c>
      <c r="L159" s="297">
        <v>19084900</v>
      </c>
      <c r="M159" s="8"/>
      <c r="N159" s="427"/>
      <c r="O159" s="1321"/>
      <c r="P159" s="1322"/>
      <c r="Q159" s="1323"/>
      <c r="R159" s="1319"/>
    </row>
    <row r="160" spans="1:18" ht="18" x14ac:dyDescent="0.2">
      <c r="A160" s="1320"/>
      <c r="B160" s="503" t="s">
        <v>1904</v>
      </c>
      <c r="C160" s="311"/>
      <c r="D160" s="290">
        <f t="shared" si="7"/>
        <v>126.68385217968954</v>
      </c>
      <c r="E160" s="164">
        <f>1.71+1.18+1.2+1.1+0.54+0.49+1.53</f>
        <v>7.75</v>
      </c>
      <c r="F160" s="302">
        <v>22167124</v>
      </c>
      <c r="G160" s="303">
        <v>16490443</v>
      </c>
      <c r="H160" s="303">
        <v>23298472</v>
      </c>
      <c r="I160" s="305">
        <v>14149142</v>
      </c>
      <c r="J160" s="297">
        <v>4503033</v>
      </c>
      <c r="K160" s="297">
        <v>4406394</v>
      </c>
      <c r="L160" s="297">
        <v>19612908</v>
      </c>
      <c r="M160" s="8"/>
      <c r="N160" s="427"/>
      <c r="O160" s="1321"/>
      <c r="P160" s="1322"/>
      <c r="Q160" s="1323"/>
      <c r="R160" s="1319"/>
    </row>
    <row r="161" spans="1:18" ht="18" x14ac:dyDescent="0.2">
      <c r="A161" s="1320"/>
      <c r="B161" s="503" t="s">
        <v>1607</v>
      </c>
      <c r="C161" s="359" t="s">
        <v>40</v>
      </c>
      <c r="D161" s="290">
        <f t="shared" si="7"/>
        <v>127.00787459175298</v>
      </c>
      <c r="E161" s="164">
        <f>0.93+0.7+0.68+1.32+0.25+0.25+1.47</f>
        <v>5.6</v>
      </c>
      <c r="F161" s="302">
        <v>22440627</v>
      </c>
      <c r="G161" s="303">
        <v>16546052</v>
      </c>
      <c r="H161" s="303">
        <v>23607372</v>
      </c>
      <c r="I161" s="305">
        <v>14187150</v>
      </c>
      <c r="J161" s="297">
        <v>4507252</v>
      </c>
      <c r="K161" s="297">
        <v>4381385</v>
      </c>
      <c r="L161" s="297">
        <v>19466977</v>
      </c>
      <c r="M161" s="8"/>
      <c r="N161" s="427"/>
      <c r="O161" s="1321"/>
      <c r="P161" s="1322"/>
      <c r="Q161" s="1323"/>
      <c r="R161" s="1319"/>
    </row>
    <row r="162" spans="1:18" ht="18" x14ac:dyDescent="0.2">
      <c r="A162" s="1320"/>
      <c r="B162" s="503" t="s">
        <v>1608</v>
      </c>
      <c r="C162" s="359" t="s">
        <v>40</v>
      </c>
      <c r="D162" s="290">
        <f t="shared" si="7"/>
        <v>127.20205355328081</v>
      </c>
      <c r="E162" s="164"/>
      <c r="F162" s="302">
        <v>22410291</v>
      </c>
      <c r="G162" s="303">
        <v>16248352</v>
      </c>
      <c r="H162" s="303">
        <v>23886837</v>
      </c>
      <c r="I162" s="305">
        <v>14204602</v>
      </c>
      <c r="J162" s="297">
        <v>4579636</v>
      </c>
      <c r="K162" s="297">
        <v>4380579</v>
      </c>
      <c r="L162" s="297">
        <v>19387475</v>
      </c>
      <c r="M162" s="8"/>
      <c r="N162" s="427"/>
      <c r="O162" s="1321"/>
      <c r="P162" s="1322"/>
      <c r="Q162" s="1323"/>
      <c r="R162" s="1319"/>
    </row>
    <row r="163" spans="1:18" ht="18" x14ac:dyDescent="0.2">
      <c r="A163" s="1320"/>
      <c r="B163" s="1705" t="s">
        <v>1724</v>
      </c>
      <c r="C163" s="1542"/>
      <c r="D163" s="290">
        <f t="shared" si="7"/>
        <v>127.36896343662846</v>
      </c>
      <c r="E163" s="164">
        <f>11.9+7.3+8.7+6.5+2.7+2.2+8.6</f>
        <v>47.900000000000006</v>
      </c>
      <c r="F163" s="302">
        <v>22451698</v>
      </c>
      <c r="G163" s="308">
        <v>16461847</v>
      </c>
      <c r="H163" s="308">
        <v>23951961</v>
      </c>
      <c r="I163" s="309">
        <v>14164124</v>
      </c>
      <c r="J163" s="310">
        <v>4539422</v>
      </c>
      <c r="K163" s="310">
        <v>4421585</v>
      </c>
      <c r="L163" s="310">
        <v>19345712</v>
      </c>
      <c r="M163" s="8"/>
      <c r="N163" s="427"/>
      <c r="O163" s="1321"/>
      <c r="P163" s="1322"/>
      <c r="Q163" s="1323"/>
      <c r="R163" s="1319"/>
    </row>
    <row r="164" spans="1:18" ht="18" x14ac:dyDescent="0.2">
      <c r="A164" s="1320"/>
      <c r="B164" s="1705" t="s">
        <v>1370</v>
      </c>
      <c r="C164" s="316"/>
      <c r="D164" s="290">
        <f t="shared" si="7"/>
        <v>128.88857569431107</v>
      </c>
      <c r="E164" s="312">
        <f>31.8+21.5+20.4+19.89+8.2+7.2+27.3</f>
        <v>136.29</v>
      </c>
      <c r="F164" s="302">
        <v>23538119</v>
      </c>
      <c r="G164" s="308">
        <v>17640667</v>
      </c>
      <c r="H164" s="308">
        <v>26645409</v>
      </c>
      <c r="I164" s="309">
        <v>14880706</v>
      </c>
      <c r="J164" s="313">
        <v>3383054</v>
      </c>
      <c r="K164" s="313">
        <v>4766228</v>
      </c>
      <c r="L164" s="313">
        <v>21071124</v>
      </c>
      <c r="M164" s="8"/>
      <c r="N164" s="427"/>
      <c r="O164" s="1321"/>
      <c r="P164" s="1322"/>
      <c r="Q164" s="1323"/>
      <c r="R164" s="1319"/>
    </row>
    <row r="165" spans="1:18" ht="18" x14ac:dyDescent="0.2">
      <c r="A165" s="1320"/>
      <c r="B165" s="1376" t="s">
        <v>1323</v>
      </c>
      <c r="C165" s="1831"/>
      <c r="D165" s="290">
        <f t="shared" si="7"/>
        <v>129.39573896374375</v>
      </c>
      <c r="E165" s="164">
        <f>3.57+2.25+2.44+2.07+1.02+0.71+2.86</f>
        <v>14.919999999999998</v>
      </c>
      <c r="F165" s="302">
        <v>22184927</v>
      </c>
      <c r="G165" s="308">
        <v>16351051</v>
      </c>
      <c r="H165" s="308">
        <v>23972366</v>
      </c>
      <c r="I165" s="309">
        <v>14102175</v>
      </c>
      <c r="J165" s="315">
        <v>4969366</v>
      </c>
      <c r="K165" s="315">
        <v>4441824</v>
      </c>
      <c r="L165" s="315">
        <v>19392175</v>
      </c>
      <c r="M165" s="8"/>
      <c r="N165" s="427"/>
      <c r="O165" s="1321"/>
      <c r="P165" s="1322"/>
      <c r="Q165" s="1323"/>
      <c r="R165" s="1319"/>
    </row>
    <row r="166" spans="1:18" ht="18" x14ac:dyDescent="0.2">
      <c r="A166" s="1320"/>
      <c r="B166" s="1376" t="s">
        <v>1324</v>
      </c>
      <c r="C166" s="316"/>
      <c r="D166" s="290">
        <f t="shared" si="7"/>
        <v>130.25427317232669</v>
      </c>
      <c r="E166" s="312">
        <f>1.56+1.58+1.48+0.93+0.34+0.33+1.58</f>
        <v>7.8</v>
      </c>
      <c r="F166" s="302">
        <v>21837526</v>
      </c>
      <c r="G166" s="308">
        <v>16693944</v>
      </c>
      <c r="H166" s="308">
        <v>24629985</v>
      </c>
      <c r="I166" s="309">
        <v>14205223</v>
      </c>
      <c r="J166" s="315">
        <v>4847998</v>
      </c>
      <c r="K166" s="315">
        <v>4586861</v>
      </c>
      <c r="L166" s="315">
        <v>19679899</v>
      </c>
      <c r="M166" s="8"/>
      <c r="N166" s="427"/>
      <c r="O166" s="1321"/>
      <c r="P166" s="1322"/>
      <c r="Q166" s="1323"/>
      <c r="R166" s="1319"/>
    </row>
    <row r="167" spans="1:18" ht="18" x14ac:dyDescent="0.2">
      <c r="A167" s="1320"/>
      <c r="B167" s="3363" t="s">
        <v>1325</v>
      </c>
      <c r="C167" s="359" t="s">
        <v>40</v>
      </c>
      <c r="D167" s="290">
        <f t="shared" si="7"/>
        <v>130.25869662080768</v>
      </c>
      <c r="E167" s="164">
        <f>14.04+11.42+14.88+9.42+3.29+3.22+13.29</f>
        <v>69.56</v>
      </c>
      <c r="F167" s="302">
        <v>21838172</v>
      </c>
      <c r="G167" s="303">
        <v>16694445</v>
      </c>
      <c r="H167" s="303">
        <v>24631152</v>
      </c>
      <c r="I167" s="305">
        <v>14205687</v>
      </c>
      <c r="J167" s="196">
        <v>4848181</v>
      </c>
      <c r="K167" s="196">
        <v>4586998</v>
      </c>
      <c r="L167" s="196">
        <v>19680473</v>
      </c>
      <c r="M167" s="8"/>
      <c r="N167" s="427"/>
      <c r="O167" s="1321"/>
      <c r="P167" s="1322"/>
      <c r="Q167" s="1323"/>
      <c r="R167" s="1319"/>
    </row>
    <row r="168" spans="1:18" ht="18" x14ac:dyDescent="0.2">
      <c r="A168" s="1320"/>
      <c r="B168" s="495" t="s">
        <v>967</v>
      </c>
      <c r="C168" s="326"/>
      <c r="D168" s="290">
        <f t="shared" si="7"/>
        <v>130.36588333129288</v>
      </c>
      <c r="E168" s="164">
        <f>77.3+55.2+57.6+50.8+14.6+20.1+72.2</f>
        <v>347.79999999999995</v>
      </c>
      <c r="F168" s="302">
        <v>24825846</v>
      </c>
      <c r="G168" s="303">
        <v>17878608</v>
      </c>
      <c r="H168" s="317">
        <v>24982132</v>
      </c>
      <c r="I168" s="318">
        <v>15506943</v>
      </c>
      <c r="J168" s="185">
        <v>3253794</v>
      </c>
      <c r="K168" s="185">
        <v>5008216</v>
      </c>
      <c r="L168" s="185">
        <v>21388343</v>
      </c>
      <c r="M168" s="8"/>
      <c r="N168" s="427"/>
      <c r="O168" s="1321"/>
      <c r="P168" s="1322"/>
      <c r="Q168" s="1323"/>
      <c r="R168" s="1319"/>
    </row>
    <row r="169" spans="1:18" ht="18" x14ac:dyDescent="0.2">
      <c r="A169" s="1320"/>
      <c r="B169" s="1584" t="s">
        <v>1045</v>
      </c>
      <c r="C169" s="301"/>
      <c r="D169" s="290">
        <f t="shared" ref="D169:D200" si="8">SUM(F169/F$102,G169/G$102,H169/H$102,I169/I$102,J169/J$102,K169/K$102,L169/L$102)/7*100</f>
        <v>130.43380810119902</v>
      </c>
      <c r="E169" s="164"/>
      <c r="F169" s="174">
        <v>23606803</v>
      </c>
      <c r="G169" s="319">
        <f>40613990-23606803</f>
        <v>17007187</v>
      </c>
      <c r="H169" s="320">
        <v>24634808</v>
      </c>
      <c r="I169" s="321">
        <v>14861391</v>
      </c>
      <c r="J169" s="322">
        <v>4358494</v>
      </c>
      <c r="K169" s="322">
        <v>4495766</v>
      </c>
      <c r="L169" s="322">
        <v>20433681</v>
      </c>
      <c r="M169" s="8"/>
      <c r="N169" s="427"/>
      <c r="O169" s="1321"/>
      <c r="P169" s="1322"/>
      <c r="Q169" s="1323"/>
      <c r="R169" s="1319"/>
    </row>
    <row r="170" spans="1:18" ht="18" customHeight="1" x14ac:dyDescent="0.25">
      <c r="A170" s="1320"/>
      <c r="B170" s="500" t="s">
        <v>2003</v>
      </c>
      <c r="C170" s="294" t="s">
        <v>40</v>
      </c>
      <c r="D170" s="290">
        <f t="shared" si="8"/>
        <v>130.51134594921481</v>
      </c>
      <c r="E170" s="164">
        <f>1.7+1.67+1.65+1.6+1.32+0.68+2.09</f>
        <v>10.709999999999999</v>
      </c>
      <c r="F170" s="174">
        <v>22416432</v>
      </c>
      <c r="G170" s="319">
        <v>16685468</v>
      </c>
      <c r="H170" s="320">
        <v>24004588</v>
      </c>
      <c r="I170" s="324">
        <v>14235300</v>
      </c>
      <c r="J170" s="322">
        <v>4906060</v>
      </c>
      <c r="K170" s="322">
        <v>4576308</v>
      </c>
      <c r="L170" s="322">
        <v>19608044</v>
      </c>
      <c r="M170" s="8"/>
      <c r="N170" s="427"/>
      <c r="O170" s="1321"/>
      <c r="P170" s="1322"/>
      <c r="Q170" s="1323"/>
      <c r="R170" s="1319"/>
    </row>
    <row r="171" spans="1:18" ht="18" customHeight="1" x14ac:dyDescent="0.2">
      <c r="A171" s="1320"/>
      <c r="B171" s="500" t="s">
        <v>1862</v>
      </c>
      <c r="C171" s="201" t="s">
        <v>40</v>
      </c>
      <c r="D171" s="290">
        <f t="shared" si="8"/>
        <v>130.85864638525001</v>
      </c>
      <c r="E171" s="164">
        <f>118.8+85.5+105.3+76.4+34.6+28+113.6</f>
        <v>562.20000000000005</v>
      </c>
      <c r="F171" s="174">
        <v>23362374</v>
      </c>
      <c r="G171" s="319">
        <v>16684038</v>
      </c>
      <c r="H171" s="320">
        <v>24535366</v>
      </c>
      <c r="I171" s="325">
        <v>14245942</v>
      </c>
      <c r="J171" s="322">
        <v>4798530</v>
      </c>
      <c r="K171" s="322">
        <v>4553370</v>
      </c>
      <c r="L171" s="322">
        <v>19499662</v>
      </c>
      <c r="M171" s="8"/>
      <c r="N171" s="427"/>
      <c r="O171" s="1321"/>
      <c r="P171" s="1322"/>
      <c r="Q171" s="1323"/>
      <c r="R171" s="1319"/>
    </row>
    <row r="172" spans="1:18" ht="18" customHeight="1" x14ac:dyDescent="0.2">
      <c r="A172" s="1320"/>
      <c r="B172" s="495" t="s">
        <v>1861</v>
      </c>
      <c r="C172" s="201" t="s">
        <v>40</v>
      </c>
      <c r="D172" s="290">
        <f t="shared" si="8"/>
        <v>130.86808661232385</v>
      </c>
      <c r="E172" s="164">
        <f>94.15+72.34+87.94+64.15+29.53+23.54+97.43</f>
        <v>469.08000000000004</v>
      </c>
      <c r="F172" s="302">
        <v>23362248</v>
      </c>
      <c r="G172" s="303">
        <v>16683492</v>
      </c>
      <c r="H172" s="317">
        <v>24533604</v>
      </c>
      <c r="I172" s="317">
        <v>14248034</v>
      </c>
      <c r="J172" s="322">
        <v>4799486</v>
      </c>
      <c r="K172" s="322">
        <v>4554874</v>
      </c>
      <c r="L172" s="322">
        <v>19496566</v>
      </c>
      <c r="M172" s="8"/>
      <c r="N172" s="427"/>
      <c r="O172" s="1321"/>
      <c r="P172" s="1322"/>
      <c r="Q172" s="1323"/>
      <c r="R172" s="1319"/>
    </row>
    <row r="173" spans="1:18" ht="18" customHeight="1" x14ac:dyDescent="0.2">
      <c r="A173" s="1320"/>
      <c r="B173" s="2498" t="s">
        <v>2248</v>
      </c>
      <c r="C173" s="201" t="s">
        <v>40</v>
      </c>
      <c r="D173" s="290">
        <f t="shared" si="8"/>
        <v>131.37582743767859</v>
      </c>
      <c r="E173" s="164">
        <f>30.2+20.6+21.8+19.6+8.9+7.7+31.3</f>
        <v>140.1</v>
      </c>
      <c r="F173" s="177">
        <v>23368098</v>
      </c>
      <c r="G173" s="295">
        <v>16756068</v>
      </c>
      <c r="H173" s="327">
        <v>24611318</v>
      </c>
      <c r="I173" s="327">
        <v>14347346</v>
      </c>
      <c r="J173" s="185">
        <v>4817822</v>
      </c>
      <c r="K173" s="185">
        <v>4583690</v>
      </c>
      <c r="L173" s="185">
        <v>19536258</v>
      </c>
      <c r="M173" s="8"/>
      <c r="N173" s="427"/>
      <c r="O173" s="1321"/>
      <c r="P173" s="1322"/>
      <c r="Q173" s="1323"/>
      <c r="R173" s="1319"/>
    </row>
    <row r="174" spans="1:18" ht="18" x14ac:dyDescent="0.2">
      <c r="A174" s="1324"/>
      <c r="B174" s="495" t="s">
        <v>1994</v>
      </c>
      <c r="C174" s="331" t="s">
        <v>40</v>
      </c>
      <c r="D174" s="290">
        <f t="shared" si="8"/>
        <v>131.39696657291123</v>
      </c>
      <c r="E174" s="164">
        <f>30+26.4+23.4+20.7+11.8+10.2+33.5</f>
        <v>156</v>
      </c>
      <c r="F174" s="194">
        <v>23371538</v>
      </c>
      <c r="G174" s="183">
        <v>16764152</v>
      </c>
      <c r="H174" s="183">
        <v>24607392</v>
      </c>
      <c r="I174" s="183">
        <v>14354442</v>
      </c>
      <c r="J174" s="183">
        <v>4816292</v>
      </c>
      <c r="K174" s="183">
        <v>4586444</v>
      </c>
      <c r="L174" s="1368">
        <v>19536988</v>
      </c>
      <c r="M174" s="8"/>
      <c r="N174" s="427"/>
      <c r="O174" s="1321"/>
      <c r="P174" s="1322"/>
      <c r="Q174" s="1323"/>
      <c r="R174" s="1319"/>
    </row>
    <row r="175" spans="1:18" ht="18" x14ac:dyDescent="0.2">
      <c r="A175" s="1324"/>
      <c r="B175" s="495" t="s">
        <v>1860</v>
      </c>
      <c r="C175" s="331" t="s">
        <v>40</v>
      </c>
      <c r="D175" s="290">
        <f t="shared" si="8"/>
        <v>131.47703467376377</v>
      </c>
      <c r="E175" s="204">
        <f>108.03+80.62+84.79+78.01+49.78+42.95+114.25</f>
        <v>558.43000000000006</v>
      </c>
      <c r="F175" s="2307">
        <v>23569296</v>
      </c>
      <c r="G175" s="1573">
        <v>16779910</v>
      </c>
      <c r="H175" s="1573">
        <v>24640344</v>
      </c>
      <c r="I175" s="1573">
        <v>14322328</v>
      </c>
      <c r="J175" s="1573">
        <v>4802984</v>
      </c>
      <c r="K175" s="1573">
        <v>4558506</v>
      </c>
      <c r="L175" s="1368">
        <v>19672444</v>
      </c>
      <c r="M175" s="8"/>
      <c r="N175" s="427"/>
      <c r="O175" s="1321"/>
      <c r="P175" s="1322"/>
      <c r="Q175" s="1323"/>
      <c r="R175" s="1319"/>
    </row>
    <row r="176" spans="1:18" ht="18" x14ac:dyDescent="0.25">
      <c r="A176" s="1324"/>
      <c r="B176" s="494" t="s">
        <v>1859</v>
      </c>
      <c r="C176" s="201" t="s">
        <v>40</v>
      </c>
      <c r="D176" s="290">
        <f t="shared" si="8"/>
        <v>131.53464247277768</v>
      </c>
      <c r="E176" s="164">
        <f>50.7+39.1+34.65+43.6+21.1+21.3+61.8</f>
        <v>272.25</v>
      </c>
      <c r="F176" s="194">
        <v>23375832</v>
      </c>
      <c r="G176" s="183">
        <v>16779254</v>
      </c>
      <c r="H176" s="183">
        <v>24625326</v>
      </c>
      <c r="I176" s="183">
        <v>14364910</v>
      </c>
      <c r="J176" s="214">
        <v>4818998</v>
      </c>
      <c r="K176" s="241">
        <v>4599660</v>
      </c>
      <c r="L176" s="185">
        <v>19565900</v>
      </c>
      <c r="M176" s="1325"/>
      <c r="N176" s="1326"/>
      <c r="O176" s="1327"/>
      <c r="P176" s="1322"/>
      <c r="Q176" s="1323"/>
      <c r="R176" s="1319"/>
    </row>
    <row r="177" spans="1:18" ht="18" x14ac:dyDescent="0.25">
      <c r="A177" s="1324"/>
      <c r="B177" s="497" t="s">
        <v>968</v>
      </c>
      <c r="C177" s="3364"/>
      <c r="D177" s="290">
        <f t="shared" si="8"/>
        <v>132.53128855693581</v>
      </c>
      <c r="E177" s="164"/>
      <c r="F177" s="194">
        <v>23474767</v>
      </c>
      <c r="G177" s="183">
        <v>16530729</v>
      </c>
      <c r="H177" s="183">
        <v>24384871</v>
      </c>
      <c r="I177" s="183">
        <v>14487093</v>
      </c>
      <c r="J177" s="184">
        <v>5082666</v>
      </c>
      <c r="K177" s="184">
        <v>4543439</v>
      </c>
      <c r="L177" s="184">
        <v>19584186</v>
      </c>
      <c r="M177" s="437"/>
      <c r="N177" s="1326"/>
      <c r="O177" s="1327"/>
      <c r="P177" s="1322"/>
      <c r="Q177" s="1323"/>
      <c r="R177" s="1319"/>
    </row>
    <row r="178" spans="1:18" ht="18" x14ac:dyDescent="0.2">
      <c r="A178" s="1324"/>
      <c r="B178" s="500" t="s">
        <v>1751</v>
      </c>
      <c r="C178" s="201"/>
      <c r="D178" s="290">
        <f t="shared" si="8"/>
        <v>133.54556539082944</v>
      </c>
      <c r="E178" s="1362">
        <f>0.562+0.39+0.36+0.39+0.17+0.16+0.5</f>
        <v>2.532</v>
      </c>
      <c r="F178" s="1377">
        <v>22589245</v>
      </c>
      <c r="G178" s="1440">
        <v>16928976</v>
      </c>
      <c r="H178" s="1440">
        <v>24169039</v>
      </c>
      <c r="I178" s="1440">
        <v>15487582</v>
      </c>
      <c r="J178" s="1391">
        <v>4878868</v>
      </c>
      <c r="K178" s="457">
        <v>4577420</v>
      </c>
      <c r="L178" s="457">
        <v>20910171</v>
      </c>
      <c r="M178" s="8"/>
      <c r="N178" s="1326"/>
      <c r="O178" s="1328"/>
      <c r="P178" s="1322"/>
      <c r="Q178" s="1323"/>
      <c r="R178" s="1319"/>
    </row>
    <row r="179" spans="1:18" ht="18" x14ac:dyDescent="0.2">
      <c r="A179" s="1324"/>
      <c r="B179" s="500" t="s">
        <v>1725</v>
      </c>
      <c r="C179" s="201" t="s">
        <v>40</v>
      </c>
      <c r="D179" s="290">
        <f t="shared" si="8"/>
        <v>133.76226631955362</v>
      </c>
      <c r="E179" s="164">
        <f>24.08+15.93+22.25+14.66+6.16+4.97+19.67</f>
        <v>107.72</v>
      </c>
      <c r="F179" s="194">
        <v>24084128</v>
      </c>
      <c r="G179" s="183">
        <v>16893238</v>
      </c>
      <c r="H179" s="183">
        <v>26224652</v>
      </c>
      <c r="I179" s="183">
        <v>14464508</v>
      </c>
      <c r="J179" s="330">
        <v>4776546</v>
      </c>
      <c r="K179" s="207">
        <v>4629707</v>
      </c>
      <c r="L179" s="207">
        <v>20097376</v>
      </c>
      <c r="M179" s="8"/>
      <c r="N179" s="1326"/>
      <c r="O179" s="1328"/>
      <c r="P179" s="1322"/>
      <c r="Q179" s="1323"/>
      <c r="R179" s="1319"/>
    </row>
    <row r="180" spans="1:18" ht="18" x14ac:dyDescent="0.2">
      <c r="A180" s="1324"/>
      <c r="B180" s="500" t="s">
        <v>1712</v>
      </c>
      <c r="C180" s="331" t="s">
        <v>40</v>
      </c>
      <c r="D180" s="290">
        <f t="shared" si="8"/>
        <v>134.3189073931502</v>
      </c>
      <c r="E180" s="164">
        <f>8.535+5.998+6.937+5.551+2.448+2.124+7.649</f>
        <v>39.241999999999997</v>
      </c>
      <c r="F180" s="194">
        <v>22730114</v>
      </c>
      <c r="G180" s="183">
        <v>17301506</v>
      </c>
      <c r="H180" s="183">
        <v>24770362</v>
      </c>
      <c r="I180" s="183">
        <v>14744122</v>
      </c>
      <c r="J180" s="330">
        <v>5005496</v>
      </c>
      <c r="K180" s="207">
        <v>4737050</v>
      </c>
      <c r="L180" s="207">
        <v>20283836</v>
      </c>
      <c r="M180" s="8"/>
      <c r="N180" s="1326"/>
      <c r="O180" s="1328"/>
      <c r="P180" s="1322"/>
      <c r="Q180" s="1323"/>
      <c r="R180" s="1319"/>
    </row>
    <row r="181" spans="1:18" ht="18" customHeight="1" x14ac:dyDescent="0.25">
      <c r="A181" s="1324"/>
      <c r="B181" s="3113" t="s">
        <v>1780</v>
      </c>
      <c r="C181" s="404" t="s">
        <v>40</v>
      </c>
      <c r="D181" s="290">
        <f t="shared" si="8"/>
        <v>134.53567292314978</v>
      </c>
      <c r="E181" s="164">
        <f>403.8+251.9+246.75+246.1+107.3+92.5+327.9</f>
        <v>1676.25</v>
      </c>
      <c r="F181" s="194">
        <v>24955028</v>
      </c>
      <c r="G181" s="195">
        <v>17095817</v>
      </c>
      <c r="H181" s="195">
        <v>25616785</v>
      </c>
      <c r="I181" s="195">
        <v>15101745</v>
      </c>
      <c r="J181" s="332">
        <v>4414369</v>
      </c>
      <c r="K181" s="333">
        <v>4946948</v>
      </c>
      <c r="L181" s="333">
        <v>20242198</v>
      </c>
      <c r="M181" s="8"/>
      <c r="N181" s="1326"/>
      <c r="O181" s="1328"/>
      <c r="P181" s="1322"/>
      <c r="Q181" s="1323"/>
      <c r="R181" s="1319"/>
    </row>
    <row r="182" spans="1:18" ht="18" customHeight="1" x14ac:dyDescent="0.2">
      <c r="A182" s="1324" t="s">
        <v>927</v>
      </c>
      <c r="B182" s="1459" t="s">
        <v>1726</v>
      </c>
      <c r="C182" s="328"/>
      <c r="D182" s="290">
        <f t="shared" si="8"/>
        <v>135.64927849477255</v>
      </c>
      <c r="E182" s="164"/>
      <c r="F182" s="243">
        <v>23861260</v>
      </c>
      <c r="G182" s="214">
        <v>16807268</v>
      </c>
      <c r="H182" s="214">
        <v>25463092</v>
      </c>
      <c r="I182" s="214">
        <v>14801588</v>
      </c>
      <c r="J182" s="184">
        <v>5272700</v>
      </c>
      <c r="K182" s="184">
        <v>4533320</v>
      </c>
      <c r="L182" s="184">
        <v>20094340</v>
      </c>
      <c r="M182" s="8"/>
      <c r="N182" s="1326"/>
      <c r="O182" s="1328"/>
      <c r="P182" s="1322"/>
      <c r="Q182" s="1323"/>
      <c r="R182" s="1319"/>
    </row>
    <row r="183" spans="1:18" ht="18" customHeight="1" x14ac:dyDescent="0.25">
      <c r="A183" s="1324"/>
      <c r="B183" s="494" t="s">
        <v>528</v>
      </c>
      <c r="C183" s="328"/>
      <c r="D183" s="290">
        <f t="shared" si="8"/>
        <v>136.51921209817098</v>
      </c>
      <c r="E183" s="164"/>
      <c r="F183" s="205">
        <v>22748170</v>
      </c>
      <c r="G183" s="334">
        <v>23421222</v>
      </c>
      <c r="H183" s="334">
        <v>25860797</v>
      </c>
      <c r="I183" s="334">
        <v>15257023</v>
      </c>
      <c r="J183" s="184">
        <v>4057990</v>
      </c>
      <c r="K183" s="184">
        <v>4426443</v>
      </c>
      <c r="L183" s="184">
        <v>21185317</v>
      </c>
      <c r="M183" s="8"/>
      <c r="N183" s="1326"/>
      <c r="O183" s="1327"/>
      <c r="P183" s="1322"/>
      <c r="Q183" s="1323"/>
      <c r="R183" s="1319"/>
    </row>
    <row r="184" spans="1:18" ht="18" customHeight="1" x14ac:dyDescent="0.25">
      <c r="A184" s="1324"/>
      <c r="B184" s="2491" t="s">
        <v>2556</v>
      </c>
      <c r="C184" s="338"/>
      <c r="D184" s="290">
        <f t="shared" si="8"/>
        <v>138.37716516407539</v>
      </c>
      <c r="E184" s="164">
        <f>103.52+83.28+64.94+90.19+79.72+25.54+101.05</f>
        <v>548.24</v>
      </c>
      <c r="F184" s="194">
        <v>25462743</v>
      </c>
      <c r="G184" s="183">
        <v>18571556</v>
      </c>
      <c r="H184" s="183">
        <v>24817333</v>
      </c>
      <c r="I184" s="183">
        <v>16161752</v>
      </c>
      <c r="J184" s="184">
        <v>3908570</v>
      </c>
      <c r="K184" s="184">
        <v>5444347</v>
      </c>
      <c r="L184" s="184">
        <v>22337118</v>
      </c>
      <c r="M184" s="8"/>
      <c r="N184" s="427"/>
      <c r="O184" s="1321"/>
      <c r="P184" s="1322"/>
      <c r="Q184" s="1323"/>
      <c r="R184" s="1319"/>
    </row>
    <row r="185" spans="1:18" ht="18" customHeight="1" x14ac:dyDescent="0.25">
      <c r="A185" s="1324"/>
      <c r="B185" s="510" t="s">
        <v>1714</v>
      </c>
      <c r="C185" s="294" t="s">
        <v>40</v>
      </c>
      <c r="D185" s="290">
        <f t="shared" si="8"/>
        <v>138.69709188544169</v>
      </c>
      <c r="E185" s="164"/>
      <c r="F185" s="194">
        <v>24774628</v>
      </c>
      <c r="G185" s="183">
        <v>17851305</v>
      </c>
      <c r="H185" s="183">
        <v>25058889</v>
      </c>
      <c r="I185" s="183">
        <v>16215330</v>
      </c>
      <c r="J185" s="184">
        <v>4635957</v>
      </c>
      <c r="K185" s="184">
        <v>4973128</v>
      </c>
      <c r="L185" s="184">
        <v>21670077</v>
      </c>
      <c r="M185" s="8"/>
      <c r="N185" s="427"/>
      <c r="O185" s="1321"/>
      <c r="P185" s="1322"/>
      <c r="Q185" s="1323"/>
      <c r="R185" s="1319"/>
    </row>
    <row r="186" spans="1:18" ht="18" customHeight="1" x14ac:dyDescent="0.2">
      <c r="A186" s="1324"/>
      <c r="B186" s="495" t="s">
        <v>2081</v>
      </c>
      <c r="C186" s="331" t="s">
        <v>40</v>
      </c>
      <c r="D186" s="290">
        <f t="shared" si="8"/>
        <v>139.04932180146184</v>
      </c>
      <c r="E186" s="164">
        <f>54.9+39.6+38.5+40.4+12.3+15.5</f>
        <v>201.20000000000002</v>
      </c>
      <c r="F186" s="194">
        <v>24738495</v>
      </c>
      <c r="G186" s="183">
        <v>18849703</v>
      </c>
      <c r="H186" s="183">
        <v>24833061</v>
      </c>
      <c r="I186" s="183">
        <v>16942725</v>
      </c>
      <c r="J186" s="184">
        <v>3252847</v>
      </c>
      <c r="K186" s="184">
        <v>6208467</v>
      </c>
      <c r="L186" s="184">
        <v>22687743</v>
      </c>
      <c r="M186" s="8"/>
      <c r="N186" s="427"/>
      <c r="O186" s="1321"/>
      <c r="P186" s="1322"/>
      <c r="Q186" s="1323"/>
      <c r="R186" s="1319"/>
    </row>
    <row r="187" spans="1:18" ht="18" customHeight="1" x14ac:dyDescent="0.2">
      <c r="A187" s="1324"/>
      <c r="B187" s="495" t="s">
        <v>1026</v>
      </c>
      <c r="C187" s="331"/>
      <c r="D187" s="290">
        <f t="shared" si="8"/>
        <v>139.38500760733291</v>
      </c>
      <c r="E187" s="312">
        <f>20.67+15.2+23.23+13.3+5.88+4.56+27.31</f>
        <v>110.15</v>
      </c>
      <c r="F187" s="1377">
        <v>25521888</v>
      </c>
      <c r="G187" s="1440">
        <v>18793695</v>
      </c>
      <c r="H187" s="1440">
        <v>25261657</v>
      </c>
      <c r="I187" s="1440">
        <v>16486125</v>
      </c>
      <c r="J187" s="1379">
        <v>4292459</v>
      </c>
      <c r="K187" s="1379">
        <v>4948695</v>
      </c>
      <c r="L187" s="1379">
        <v>22357458</v>
      </c>
      <c r="M187" s="8"/>
      <c r="N187" s="427"/>
      <c r="O187" s="1321"/>
      <c r="P187" s="1322"/>
      <c r="Q187" s="1323"/>
      <c r="R187" s="1319"/>
    </row>
    <row r="188" spans="1:18" ht="18" customHeight="1" x14ac:dyDescent="0.25">
      <c r="A188" s="1324"/>
      <c r="B188" s="524" t="s">
        <v>1024</v>
      </c>
      <c r="C188" s="3123" t="s">
        <v>40</v>
      </c>
      <c r="D188" s="290">
        <f t="shared" si="8"/>
        <v>140.19835056904267</v>
      </c>
      <c r="E188" s="164"/>
      <c r="F188" s="194">
        <v>27330710</v>
      </c>
      <c r="G188" s="183">
        <v>18866341</v>
      </c>
      <c r="H188" s="183">
        <v>25493824</v>
      </c>
      <c r="I188" s="183">
        <v>19316593</v>
      </c>
      <c r="J188" s="184">
        <v>3341860</v>
      </c>
      <c r="K188" s="184">
        <v>5114974</v>
      </c>
      <c r="L188" s="184">
        <v>22351875</v>
      </c>
      <c r="M188" s="8"/>
      <c r="N188" s="427"/>
      <c r="O188" s="1321"/>
      <c r="P188" s="1322"/>
      <c r="Q188" s="1323"/>
      <c r="R188" s="1319"/>
    </row>
    <row r="189" spans="1:18" ht="18" customHeight="1" x14ac:dyDescent="0.2">
      <c r="A189" s="1324"/>
      <c r="B189" s="494" t="s">
        <v>2072</v>
      </c>
      <c r="C189" s="1586"/>
      <c r="D189" s="290">
        <f t="shared" si="8"/>
        <v>140.64944934419395</v>
      </c>
      <c r="E189" s="164">
        <f>24.68+9.68+9.57+37.03+31.64+3.88+12.3</f>
        <v>128.78</v>
      </c>
      <c r="F189" s="194">
        <v>27907702</v>
      </c>
      <c r="G189" s="183">
        <v>17550489</v>
      </c>
      <c r="H189" s="183">
        <v>24769492</v>
      </c>
      <c r="I189" s="183">
        <v>18559690</v>
      </c>
      <c r="J189" s="184">
        <v>4260256</v>
      </c>
      <c r="K189" s="184">
        <v>4850441</v>
      </c>
      <c r="L189" s="184">
        <v>21186013</v>
      </c>
      <c r="M189" s="8"/>
      <c r="N189" s="427"/>
      <c r="O189" s="1321"/>
      <c r="P189" s="1322"/>
      <c r="Q189" s="1323"/>
      <c r="R189" s="1319"/>
    </row>
    <row r="190" spans="1:18" ht="18" customHeight="1" x14ac:dyDescent="0.2">
      <c r="A190" s="1324"/>
      <c r="B190" s="497" t="s">
        <v>1972</v>
      </c>
      <c r="C190" s="339" t="s">
        <v>40</v>
      </c>
      <c r="D190" s="290">
        <f t="shared" si="8"/>
        <v>141.10917741227931</v>
      </c>
      <c r="E190" s="164">
        <f>19.34+23.06+33.22+18.79+3.2+6.47+33.09</f>
        <v>137.17000000000002</v>
      </c>
      <c r="F190" s="194">
        <v>25389843</v>
      </c>
      <c r="G190" s="183">
        <v>18437884</v>
      </c>
      <c r="H190" s="183">
        <v>25344036</v>
      </c>
      <c r="I190" s="183">
        <v>16421863</v>
      </c>
      <c r="J190" s="184">
        <v>4677269</v>
      </c>
      <c r="K190" s="184">
        <v>5052920</v>
      </c>
      <c r="L190" s="184">
        <v>22052254</v>
      </c>
      <c r="M190" s="8"/>
      <c r="N190" s="427"/>
      <c r="O190" s="1321"/>
      <c r="P190" s="1322"/>
      <c r="Q190" s="1323"/>
      <c r="R190" s="1319"/>
    </row>
    <row r="191" spans="1:18" ht="18" customHeight="1" x14ac:dyDescent="0.25">
      <c r="A191" s="1324"/>
      <c r="B191" s="2977" t="s">
        <v>2216</v>
      </c>
      <c r="C191" s="338"/>
      <c r="D191" s="290">
        <f t="shared" si="8"/>
        <v>141.68093097053648</v>
      </c>
      <c r="E191" s="164">
        <f>39.7+30.5+29.5+29.8+16.4+14.4+37.7</f>
        <v>198</v>
      </c>
      <c r="F191" s="194">
        <v>24363216</v>
      </c>
      <c r="G191" s="183">
        <v>18412921</v>
      </c>
      <c r="H191" s="183">
        <v>25481002</v>
      </c>
      <c r="I191" s="183">
        <v>17637893</v>
      </c>
      <c r="J191" s="184">
        <v>4372295</v>
      </c>
      <c r="K191" s="184">
        <v>5237520</v>
      </c>
      <c r="L191" s="184">
        <v>22802910</v>
      </c>
      <c r="M191" s="8"/>
      <c r="N191" s="427"/>
      <c r="O191" s="1321"/>
      <c r="P191" s="1322"/>
      <c r="Q191" s="1323"/>
      <c r="R191" s="1319"/>
    </row>
    <row r="192" spans="1:18" ht="18" customHeight="1" x14ac:dyDescent="0.2">
      <c r="A192" s="1324"/>
      <c r="B192" s="497" t="s">
        <v>1727</v>
      </c>
      <c r="C192" s="339"/>
      <c r="D192" s="290">
        <f t="shared" si="8"/>
        <v>141.79262837932876</v>
      </c>
      <c r="E192" s="164">
        <f>186.7+134.31+70.67+153.34+93.18+74.81+286.34</f>
        <v>999.34999999999991</v>
      </c>
      <c r="F192" s="194">
        <v>25377490</v>
      </c>
      <c r="G192" s="183">
        <v>17860931</v>
      </c>
      <c r="H192" s="183">
        <v>24708460</v>
      </c>
      <c r="I192" s="183">
        <v>15808122</v>
      </c>
      <c r="J192" s="184">
        <v>5236077</v>
      </c>
      <c r="K192" s="184">
        <v>5074827</v>
      </c>
      <c r="L192" s="184">
        <v>21378541</v>
      </c>
      <c r="M192" s="8"/>
      <c r="N192" s="427"/>
      <c r="O192" s="1321"/>
      <c r="P192" s="1322"/>
      <c r="Q192" s="1323"/>
      <c r="R192" s="1319"/>
    </row>
    <row r="193" spans="1:18" ht="18" x14ac:dyDescent="0.2">
      <c r="A193" s="1324"/>
      <c r="B193" s="504" t="s">
        <v>1729</v>
      </c>
      <c r="C193" s="201" t="s">
        <v>40</v>
      </c>
      <c r="D193" s="290">
        <f t="shared" si="8"/>
        <v>141.82114697032452</v>
      </c>
      <c r="E193" s="164"/>
      <c r="F193" s="194">
        <v>24370189</v>
      </c>
      <c r="G193" s="183">
        <v>17902544</v>
      </c>
      <c r="H193" s="183">
        <v>25674966</v>
      </c>
      <c r="I193" s="183">
        <v>15216535</v>
      </c>
      <c r="J193" s="184">
        <v>5521768</v>
      </c>
      <c r="K193" s="184">
        <v>4935879</v>
      </c>
      <c r="L193" s="184">
        <v>21263545</v>
      </c>
      <c r="M193" s="8"/>
      <c r="N193" s="427"/>
      <c r="O193" s="1321"/>
      <c r="P193" s="1322"/>
      <c r="Q193" s="1323"/>
      <c r="R193" s="1319"/>
    </row>
    <row r="194" spans="1:18" ht="18" x14ac:dyDescent="0.2">
      <c r="A194" s="1324"/>
      <c r="B194" s="495" t="s">
        <v>925</v>
      </c>
      <c r="C194" s="337"/>
      <c r="D194" s="290">
        <f t="shared" si="8"/>
        <v>142.17335668433259</v>
      </c>
      <c r="E194" s="164"/>
      <c r="F194" s="243">
        <v>24208250</v>
      </c>
      <c r="G194" s="214">
        <v>18122050</v>
      </c>
      <c r="H194" s="214">
        <v>25734575</v>
      </c>
      <c r="I194" s="214">
        <v>15455345</v>
      </c>
      <c r="J194" s="184">
        <v>5322946</v>
      </c>
      <c r="K194" s="184">
        <v>5099476</v>
      </c>
      <c r="L194" s="184">
        <v>21611151</v>
      </c>
      <c r="M194" s="8"/>
      <c r="N194" s="427"/>
      <c r="O194" s="1321"/>
      <c r="P194" s="1322"/>
      <c r="Q194" s="1323"/>
      <c r="R194" s="1319"/>
    </row>
    <row r="195" spans="1:18" ht="18" x14ac:dyDescent="0.2">
      <c r="A195" s="1324"/>
      <c r="B195" s="3118" t="s">
        <v>2073</v>
      </c>
      <c r="C195" s="335"/>
      <c r="D195" s="290">
        <f t="shared" si="8"/>
        <v>143.70535770832458</v>
      </c>
      <c r="E195" s="164">
        <f>39.803+27.371+27.595+27.008+8.875+10.612+36.838</f>
        <v>178.10199999999998</v>
      </c>
      <c r="F195" s="194">
        <v>25309813</v>
      </c>
      <c r="G195" s="183">
        <v>19497784</v>
      </c>
      <c r="H195" s="183">
        <v>25586380</v>
      </c>
      <c r="I195" s="183">
        <v>17839763</v>
      </c>
      <c r="J195" s="184">
        <v>3241051</v>
      </c>
      <c r="K195" s="184">
        <v>6491006</v>
      </c>
      <c r="L195" s="184">
        <v>23631532</v>
      </c>
      <c r="M195" s="8"/>
      <c r="N195" s="427"/>
      <c r="O195" s="1321"/>
      <c r="P195" s="1322"/>
      <c r="Q195" s="1323"/>
      <c r="R195" s="1319"/>
    </row>
    <row r="196" spans="1:18" ht="18" x14ac:dyDescent="0.2">
      <c r="A196" s="1324"/>
      <c r="B196" s="1435" t="s">
        <v>1433</v>
      </c>
      <c r="C196" s="190" t="s">
        <v>40</v>
      </c>
      <c r="D196" s="290">
        <f t="shared" si="8"/>
        <v>144.98010151984548</v>
      </c>
      <c r="E196" s="1362">
        <f>45.1+30.6+19.2+32.4+33.3+18.8+40.8</f>
        <v>220.20000000000005</v>
      </c>
      <c r="F196" s="1377">
        <v>24183146</v>
      </c>
      <c r="G196" s="1378">
        <v>18203636</v>
      </c>
      <c r="H196" s="1378">
        <v>25258236</v>
      </c>
      <c r="I196" s="1378">
        <v>16154899</v>
      </c>
      <c r="J196" s="1379">
        <v>5519482</v>
      </c>
      <c r="K196" s="1379">
        <v>5232767</v>
      </c>
      <c r="L196" s="1379">
        <v>22309056</v>
      </c>
      <c r="M196" s="8"/>
      <c r="N196" s="427"/>
      <c r="O196" s="1329"/>
      <c r="P196" s="1322"/>
      <c r="Q196" s="1323"/>
      <c r="R196" s="1319"/>
    </row>
    <row r="197" spans="1:18" ht="18" x14ac:dyDescent="0.2">
      <c r="A197" s="1324"/>
      <c r="B197" s="494" t="s">
        <v>1335</v>
      </c>
      <c r="C197" s="331" t="s">
        <v>40</v>
      </c>
      <c r="D197" s="290">
        <f t="shared" si="8"/>
        <v>145.18088596199453</v>
      </c>
      <c r="E197" s="164">
        <f>2.265+1.531+1.593+1.515+0.687+0.562+2.031</f>
        <v>10.184000000000001</v>
      </c>
      <c r="F197" s="194">
        <v>24024795</v>
      </c>
      <c r="G197" s="183">
        <v>17994247</v>
      </c>
      <c r="H197" s="183">
        <v>24622468</v>
      </c>
      <c r="I197" s="183">
        <v>15398348</v>
      </c>
      <c r="J197" s="184">
        <v>5980150</v>
      </c>
      <c r="K197" s="184">
        <v>5283886</v>
      </c>
      <c r="L197" s="184">
        <v>21434630</v>
      </c>
      <c r="M197" s="8"/>
      <c r="N197" s="427"/>
      <c r="O197" s="1321"/>
      <c r="P197" s="1322"/>
      <c r="Q197" s="1323"/>
      <c r="R197" s="1319"/>
    </row>
    <row r="198" spans="1:18" ht="18" customHeight="1" x14ac:dyDescent="0.25">
      <c r="A198" s="1324" t="s">
        <v>929</v>
      </c>
      <c r="B198" s="3107" t="s">
        <v>1577</v>
      </c>
      <c r="C198" s="404" t="s">
        <v>40</v>
      </c>
      <c r="D198" s="290">
        <f t="shared" si="8"/>
        <v>145.46763090697578</v>
      </c>
      <c r="E198" s="164">
        <f>14.9+10.4+12.3+10.1+4.3+3.7+13.3</f>
        <v>69</v>
      </c>
      <c r="F198" s="194">
        <v>26018806</v>
      </c>
      <c r="G198" s="183">
        <v>18725605</v>
      </c>
      <c r="H198" s="183">
        <v>26364408</v>
      </c>
      <c r="I198" s="183">
        <v>16312167</v>
      </c>
      <c r="J198" s="184">
        <v>5038034</v>
      </c>
      <c r="K198" s="184">
        <v>5298285</v>
      </c>
      <c r="L198" s="184">
        <v>22150761</v>
      </c>
      <c r="M198" s="8"/>
      <c r="N198" s="427"/>
      <c r="O198" s="1321"/>
      <c r="P198" s="1322"/>
      <c r="Q198" s="1323"/>
      <c r="R198" s="1319"/>
    </row>
    <row r="199" spans="1:18" ht="18" x14ac:dyDescent="0.25">
      <c r="A199" s="1324"/>
      <c r="B199" s="559" t="s">
        <v>1326</v>
      </c>
      <c r="C199" s="1828" t="s">
        <v>40</v>
      </c>
      <c r="D199" s="290">
        <f t="shared" si="8"/>
        <v>145.46763090697578</v>
      </c>
      <c r="E199" s="1362">
        <f>14.1+9.9+11.37+9.45+4.03+3.55+12.56</f>
        <v>64.959999999999994</v>
      </c>
      <c r="F199" s="1377">
        <v>26018806</v>
      </c>
      <c r="G199" s="1378">
        <v>18725605</v>
      </c>
      <c r="H199" s="1378">
        <v>26364408</v>
      </c>
      <c r="I199" s="1378">
        <v>16312167</v>
      </c>
      <c r="J199" s="1379">
        <v>5038034</v>
      </c>
      <c r="K199" s="1379">
        <v>5298285</v>
      </c>
      <c r="L199" s="1379">
        <v>22150761</v>
      </c>
      <c r="M199" s="8"/>
      <c r="N199" s="427"/>
      <c r="O199" s="1327"/>
      <c r="P199" s="1322"/>
      <c r="Q199" s="1323"/>
      <c r="R199" s="1319"/>
    </row>
    <row r="200" spans="1:18" ht="18" x14ac:dyDescent="0.25">
      <c r="A200" s="1324"/>
      <c r="B200" s="497" t="s">
        <v>1958</v>
      </c>
      <c r="C200" s="331" t="s">
        <v>40</v>
      </c>
      <c r="D200" s="290">
        <f t="shared" si="8"/>
        <v>145.46165684860753</v>
      </c>
      <c r="E200" s="164">
        <f>644.1+595.77+597.98+844.55+471.81+281.32+863.89</f>
        <v>4299.42</v>
      </c>
      <c r="F200" s="243">
        <v>26943444</v>
      </c>
      <c r="G200" s="214">
        <v>18803980</v>
      </c>
      <c r="H200" s="214">
        <v>27464796</v>
      </c>
      <c r="I200" s="214">
        <v>16872144</v>
      </c>
      <c r="J200" s="184">
        <v>4812056</v>
      </c>
      <c r="K200" s="184">
        <v>4829752</v>
      </c>
      <c r="L200" s="184">
        <v>23188164</v>
      </c>
      <c r="M200" s="8"/>
      <c r="N200" s="427"/>
      <c r="O200" s="1327"/>
      <c r="P200" s="1322"/>
      <c r="Q200" s="1323"/>
      <c r="R200" s="1319"/>
    </row>
    <row r="201" spans="1:18" ht="18" customHeight="1" x14ac:dyDescent="0.2">
      <c r="A201" s="1324" t="s">
        <v>930</v>
      </c>
      <c r="B201" s="495" t="s">
        <v>1730</v>
      </c>
      <c r="C201" s="331" t="s">
        <v>40</v>
      </c>
      <c r="D201" s="290">
        <f t="shared" ref="D201:D232" si="9">SUM(F201/F$102,G201/G$102,H201/H$102,I201/I$102,J201/J$102,K201/K$102,L201/L$102)/7*100</f>
        <v>145.63407829539375</v>
      </c>
      <c r="E201" s="164"/>
      <c r="F201" s="243">
        <v>26258395</v>
      </c>
      <c r="G201" s="214">
        <v>18891051</v>
      </c>
      <c r="H201" s="214">
        <v>25729701</v>
      </c>
      <c r="I201" s="214">
        <v>17180713</v>
      </c>
      <c r="J201" s="184">
        <v>4835913</v>
      </c>
      <c r="K201" s="184">
        <v>5222042</v>
      </c>
      <c r="L201" s="184">
        <v>22788398</v>
      </c>
      <c r="M201" s="8"/>
      <c r="N201" s="1326"/>
      <c r="O201" s="1321"/>
      <c r="P201" s="1322"/>
      <c r="Q201" s="1323"/>
      <c r="R201" s="1319"/>
    </row>
    <row r="202" spans="1:18" ht="18" x14ac:dyDescent="0.25">
      <c r="A202" s="1324"/>
      <c r="B202" s="509" t="s">
        <v>1731</v>
      </c>
      <c r="C202" s="339" t="s">
        <v>40</v>
      </c>
      <c r="D202" s="290">
        <f t="shared" si="9"/>
        <v>145.91377706848959</v>
      </c>
      <c r="E202" s="164"/>
      <c r="F202" s="205">
        <v>25382084</v>
      </c>
      <c r="G202" s="334">
        <v>18270013</v>
      </c>
      <c r="H202" s="334">
        <v>26198652</v>
      </c>
      <c r="I202" s="334">
        <v>15730861</v>
      </c>
      <c r="J202" s="184">
        <v>5352100</v>
      </c>
      <c r="K202" s="184">
        <v>5518631</v>
      </c>
      <c r="L202" s="184">
        <v>21768333</v>
      </c>
      <c r="M202" s="8"/>
      <c r="N202" s="427"/>
      <c r="O202" s="1327"/>
      <c r="P202" s="1322"/>
      <c r="Q202" s="1323"/>
      <c r="R202" s="1319"/>
    </row>
    <row r="203" spans="1:18" ht="18" x14ac:dyDescent="0.2">
      <c r="A203" s="1324"/>
      <c r="B203" s="2496" t="s">
        <v>1871</v>
      </c>
      <c r="C203" s="339" t="s">
        <v>40</v>
      </c>
      <c r="D203" s="290">
        <f t="shared" si="9"/>
        <v>146.16738089144187</v>
      </c>
      <c r="E203" s="164"/>
      <c r="F203" s="205">
        <v>25189990</v>
      </c>
      <c r="G203" s="206">
        <v>18002622</v>
      </c>
      <c r="H203" s="206">
        <v>24622394</v>
      </c>
      <c r="I203" s="206">
        <v>15590187</v>
      </c>
      <c r="J203" s="196">
        <v>5980079</v>
      </c>
      <c r="K203" s="196">
        <v>5238694</v>
      </c>
      <c r="L203" s="196">
        <v>21458478</v>
      </c>
      <c r="M203" s="8"/>
      <c r="N203" s="427"/>
      <c r="O203" s="1321"/>
      <c r="P203" s="1322"/>
      <c r="Q203" s="1323"/>
      <c r="R203" s="1319"/>
    </row>
    <row r="204" spans="1:18" ht="18" x14ac:dyDescent="0.2">
      <c r="A204" s="1324"/>
      <c r="B204" s="495" t="s">
        <v>1774</v>
      </c>
      <c r="C204" s="339" t="s">
        <v>40</v>
      </c>
      <c r="D204" s="290">
        <f t="shared" si="9"/>
        <v>149.35582477843013</v>
      </c>
      <c r="E204" s="164">
        <f>11.31+7.73+8.15+7.86+2.89+2.83+10.38</f>
        <v>51.15</v>
      </c>
      <c r="F204" s="205">
        <v>24193824</v>
      </c>
      <c r="G204" s="334">
        <v>18778259</v>
      </c>
      <c r="H204" s="334">
        <v>25996396</v>
      </c>
      <c r="I204" s="334">
        <v>19033366</v>
      </c>
      <c r="J204" s="184">
        <v>4929675</v>
      </c>
      <c r="K204" s="184">
        <v>5393914</v>
      </c>
      <c r="L204" s="184">
        <v>24823439</v>
      </c>
      <c r="M204" s="8"/>
      <c r="N204" s="427"/>
      <c r="O204" s="1321"/>
      <c r="P204" s="1322"/>
      <c r="Q204" s="1323"/>
      <c r="R204" s="1319"/>
    </row>
    <row r="205" spans="1:18" ht="18" x14ac:dyDescent="0.25">
      <c r="A205" s="1324" t="s">
        <v>931</v>
      </c>
      <c r="B205" s="494" t="s">
        <v>1773</v>
      </c>
      <c r="C205" s="339" t="s">
        <v>40</v>
      </c>
      <c r="D205" s="290">
        <f t="shared" si="9"/>
        <v>149.35582477843013</v>
      </c>
      <c r="E205" s="164">
        <f>7.25+4.959+4.98+4.92+1.87+1.82+6.81</f>
        <v>32.609000000000002</v>
      </c>
      <c r="F205" s="243">
        <v>24193824</v>
      </c>
      <c r="G205" s="214">
        <v>18778259</v>
      </c>
      <c r="H205" s="183">
        <v>25996396</v>
      </c>
      <c r="I205" s="183">
        <v>19033366</v>
      </c>
      <c r="J205" s="184">
        <v>4929675</v>
      </c>
      <c r="K205" s="184">
        <v>5393914</v>
      </c>
      <c r="L205" s="184">
        <v>24823439</v>
      </c>
      <c r="M205" s="8"/>
      <c r="N205" s="1330"/>
      <c r="O205" s="1327"/>
      <c r="P205" s="1322"/>
      <c r="Q205" s="1323"/>
      <c r="R205" s="1319"/>
    </row>
    <row r="206" spans="1:18" ht="18" x14ac:dyDescent="0.2">
      <c r="A206" s="1324"/>
      <c r="B206" s="3103" t="s">
        <v>1869</v>
      </c>
      <c r="C206" s="339" t="s">
        <v>40</v>
      </c>
      <c r="D206" s="290">
        <f t="shared" si="9"/>
        <v>149.35582477843013</v>
      </c>
      <c r="E206" s="164">
        <f>6.63+4.72+4.68+4.52+1.61+1.63+6.22</f>
        <v>30.009999999999998</v>
      </c>
      <c r="F206" s="194">
        <v>24193824</v>
      </c>
      <c r="G206" s="195">
        <v>18778259</v>
      </c>
      <c r="H206" s="195">
        <v>25996396</v>
      </c>
      <c r="I206" s="195">
        <v>19033366</v>
      </c>
      <c r="J206" s="196">
        <v>4929675</v>
      </c>
      <c r="K206" s="196">
        <v>5393914</v>
      </c>
      <c r="L206" s="196">
        <v>24823439</v>
      </c>
      <c r="M206" s="8"/>
      <c r="N206" s="1330"/>
      <c r="O206" s="1321"/>
      <c r="P206" s="1322"/>
      <c r="Q206" s="1323"/>
      <c r="R206" s="1319"/>
    </row>
    <row r="207" spans="1:18" ht="18" x14ac:dyDescent="0.2">
      <c r="A207" s="1324" t="s">
        <v>932</v>
      </c>
      <c r="B207" s="497" t="s">
        <v>924</v>
      </c>
      <c r="C207" s="339" t="s">
        <v>40</v>
      </c>
      <c r="D207" s="290">
        <f t="shared" si="9"/>
        <v>149.47378640477666</v>
      </c>
      <c r="E207" s="164">
        <f>2.12+1.41+1.5+1.42+0.58+0.56+1.92</f>
        <v>9.51</v>
      </c>
      <c r="F207" s="205">
        <v>24244624</v>
      </c>
      <c r="G207" s="334">
        <v>18782614</v>
      </c>
      <c r="H207" s="334">
        <v>26145967</v>
      </c>
      <c r="I207" s="334">
        <v>19013752</v>
      </c>
      <c r="J207" s="184">
        <v>4931107</v>
      </c>
      <c r="K207" s="184">
        <v>5392644</v>
      </c>
      <c r="L207" s="184">
        <v>24816997</v>
      </c>
      <c r="M207" s="8"/>
      <c r="N207" s="1330"/>
      <c r="O207" s="1321"/>
      <c r="P207" s="1322"/>
      <c r="Q207" s="1323"/>
      <c r="R207" s="1319"/>
    </row>
    <row r="208" spans="1:18" ht="18" x14ac:dyDescent="0.25">
      <c r="A208" s="1324"/>
      <c r="B208" s="497" t="s">
        <v>1030</v>
      </c>
      <c r="C208" s="339"/>
      <c r="D208" s="290">
        <f t="shared" si="9"/>
        <v>152.44102571938359</v>
      </c>
      <c r="E208" s="312">
        <f>106.61+111.5+117.76+83.06+17.5+37.17+128.26</f>
        <v>601.86</v>
      </c>
      <c r="F208" s="1499">
        <v>26449102</v>
      </c>
      <c r="G208" s="1381">
        <v>21316602</v>
      </c>
      <c r="H208" s="1381">
        <v>26049868</v>
      </c>
      <c r="I208" s="1381">
        <v>18457101</v>
      </c>
      <c r="J208" s="1379">
        <v>3253233</v>
      </c>
      <c r="K208" s="1379">
        <v>7262432</v>
      </c>
      <c r="L208" s="1379">
        <v>25557990</v>
      </c>
      <c r="M208" s="8"/>
      <c r="N208" s="1330"/>
      <c r="O208" s="1327"/>
      <c r="P208" s="1322"/>
      <c r="Q208" s="1323"/>
      <c r="R208" s="1319"/>
    </row>
    <row r="209" spans="1:18" ht="18" x14ac:dyDescent="0.25">
      <c r="A209" s="1324"/>
      <c r="B209" s="497" t="s">
        <v>2076</v>
      </c>
      <c r="C209" s="339" t="s">
        <v>40</v>
      </c>
      <c r="D209" s="290">
        <f t="shared" si="9"/>
        <v>153.31958230036443</v>
      </c>
      <c r="E209" s="312">
        <f>27+9+8+12+10+3+15</f>
        <v>84</v>
      </c>
      <c r="F209" s="1499">
        <v>27032192</v>
      </c>
      <c r="G209" s="1381">
        <v>20051579</v>
      </c>
      <c r="H209" s="1381">
        <v>26677154</v>
      </c>
      <c r="I209" s="1381">
        <v>18248704</v>
      </c>
      <c r="J209" s="1379">
        <v>4939214</v>
      </c>
      <c r="K209" s="1379">
        <v>5735876</v>
      </c>
      <c r="L209" s="1379">
        <v>24237423</v>
      </c>
      <c r="M209" s="8"/>
      <c r="N209" s="1330"/>
      <c r="O209" s="1327"/>
      <c r="P209" s="1322"/>
      <c r="Q209" s="1323"/>
      <c r="R209" s="1319"/>
    </row>
    <row r="210" spans="1:18" ht="18" x14ac:dyDescent="0.25">
      <c r="A210" s="1324"/>
      <c r="B210" s="497" t="s">
        <v>1732</v>
      </c>
      <c r="C210" s="339" t="s">
        <v>40</v>
      </c>
      <c r="D210" s="290">
        <f t="shared" si="9"/>
        <v>154.52811551149134</v>
      </c>
      <c r="E210" s="1633">
        <f>0.29+0.2+0.18+0.22+0.09+0.08+0.25</f>
        <v>1.3099999999999998</v>
      </c>
      <c r="F210" s="1380">
        <v>25039528</v>
      </c>
      <c r="G210" s="1381">
        <v>18719064</v>
      </c>
      <c r="H210" s="1381">
        <v>25827312</v>
      </c>
      <c r="I210" s="1381">
        <v>17790124</v>
      </c>
      <c r="J210" s="1379">
        <v>6165208</v>
      </c>
      <c r="K210" s="1379">
        <v>5494648</v>
      </c>
      <c r="L210" s="1379">
        <v>23949432</v>
      </c>
      <c r="M210" s="8"/>
      <c r="N210" s="1330"/>
      <c r="O210" s="1327"/>
      <c r="P210" s="1322"/>
      <c r="Q210" s="1323"/>
      <c r="R210" s="1319"/>
    </row>
    <row r="211" spans="1:18" ht="18" x14ac:dyDescent="0.25">
      <c r="A211" s="1324"/>
      <c r="B211" s="497" t="s">
        <v>943</v>
      </c>
      <c r="C211" s="339"/>
      <c r="D211" s="290">
        <f t="shared" si="9"/>
        <v>157.38644014510294</v>
      </c>
      <c r="E211" s="312">
        <f>15.885+10.373+14.846+11.821+5.936+3.502+13.559</f>
        <v>75.921999999999997</v>
      </c>
      <c r="F211" s="1380">
        <v>26148976</v>
      </c>
      <c r="G211" s="1381">
        <v>20928320</v>
      </c>
      <c r="H211" s="1381">
        <v>25677024</v>
      </c>
      <c r="I211" s="1381">
        <v>18226240</v>
      </c>
      <c r="J211" s="1379">
        <v>5273456</v>
      </c>
      <c r="K211" s="1379">
        <v>6143888</v>
      </c>
      <c r="L211" s="1379">
        <v>25525072</v>
      </c>
      <c r="M211" s="8"/>
      <c r="N211" s="1330"/>
      <c r="O211" s="1327"/>
      <c r="P211" s="1322"/>
      <c r="Q211" s="1323"/>
      <c r="R211" s="1319"/>
    </row>
    <row r="212" spans="1:18" ht="18" x14ac:dyDescent="0.25">
      <c r="A212" s="1324" t="s">
        <v>933</v>
      </c>
      <c r="B212" s="494" t="s">
        <v>562</v>
      </c>
      <c r="C212" s="3124"/>
      <c r="D212" s="290">
        <f t="shared" si="9"/>
        <v>157.52636317354899</v>
      </c>
      <c r="E212" s="164"/>
      <c r="F212" s="205">
        <v>25639989</v>
      </c>
      <c r="G212" s="334">
        <v>20015433</v>
      </c>
      <c r="H212" s="334">
        <v>26995986</v>
      </c>
      <c r="I212" s="334">
        <v>18890869</v>
      </c>
      <c r="J212" s="184">
        <v>5542999</v>
      </c>
      <c r="K212" s="184">
        <v>5831522</v>
      </c>
      <c r="L212" s="184">
        <v>25052025</v>
      </c>
      <c r="M212" s="8"/>
      <c r="N212" s="1330"/>
      <c r="O212" s="1327"/>
      <c r="P212" s="1322"/>
      <c r="Q212" s="1323"/>
      <c r="R212" s="1319"/>
    </row>
    <row r="213" spans="1:18" ht="18" x14ac:dyDescent="0.2">
      <c r="A213" s="1324"/>
      <c r="B213" s="494" t="s">
        <v>1009</v>
      </c>
      <c r="C213" s="3125"/>
      <c r="D213" s="342">
        <f t="shared" si="9"/>
        <v>157.99429960743697</v>
      </c>
      <c r="E213" s="164"/>
      <c r="F213" s="205">
        <v>24439644</v>
      </c>
      <c r="G213" s="206">
        <v>25073685</v>
      </c>
      <c r="H213" s="206">
        <v>25080826</v>
      </c>
      <c r="I213" s="206">
        <v>16704968</v>
      </c>
      <c r="J213" s="196">
        <v>4801633</v>
      </c>
      <c r="K213" s="196">
        <v>5645688</v>
      </c>
      <c r="L213" s="196">
        <v>30861537</v>
      </c>
      <c r="M213" s="8"/>
      <c r="N213" s="427"/>
      <c r="O213" s="1321"/>
      <c r="P213" s="1322"/>
      <c r="Q213" s="1323"/>
      <c r="R213" s="1319"/>
    </row>
    <row r="214" spans="1:18" ht="18" customHeight="1" x14ac:dyDescent="0.25">
      <c r="A214" s="1324"/>
      <c r="B214" s="3119" t="s">
        <v>1892</v>
      </c>
      <c r="C214" s="1569"/>
      <c r="D214" s="342">
        <f t="shared" si="9"/>
        <v>158.02090515601563</v>
      </c>
      <c r="E214" s="1362"/>
      <c r="F214" s="1570">
        <v>25824684</v>
      </c>
      <c r="G214" s="1571">
        <v>19916284</v>
      </c>
      <c r="H214" s="1571">
        <v>26872124</v>
      </c>
      <c r="I214" s="1571">
        <v>19001386</v>
      </c>
      <c r="J214" s="1566">
        <v>5527831</v>
      </c>
      <c r="K214" s="1566">
        <v>5993734</v>
      </c>
      <c r="L214" s="1566">
        <v>24829924</v>
      </c>
      <c r="M214" s="8"/>
      <c r="N214" s="427"/>
      <c r="O214" s="1321"/>
      <c r="P214" s="1322"/>
      <c r="Q214" s="1323"/>
      <c r="R214" s="1319"/>
    </row>
    <row r="215" spans="1:18" ht="18" customHeight="1" x14ac:dyDescent="0.2">
      <c r="A215" s="1324" t="s">
        <v>934</v>
      </c>
      <c r="B215" s="495" t="s">
        <v>1043</v>
      </c>
      <c r="C215" s="331" t="s">
        <v>40</v>
      </c>
      <c r="D215" s="290">
        <f t="shared" si="9"/>
        <v>158.04527053462886</v>
      </c>
      <c r="E215" s="164"/>
      <c r="F215" s="205">
        <v>25639919</v>
      </c>
      <c r="G215" s="334">
        <v>20015305</v>
      </c>
      <c r="H215" s="334">
        <v>26922018</v>
      </c>
      <c r="I215" s="334">
        <v>18876509</v>
      </c>
      <c r="J215" s="184">
        <v>5543270</v>
      </c>
      <c r="K215" s="184">
        <v>5962944</v>
      </c>
      <c r="L215" s="184">
        <v>25105005</v>
      </c>
      <c r="M215" s="8"/>
      <c r="N215" s="427"/>
      <c r="O215" s="1321"/>
      <c r="P215" s="1322"/>
      <c r="Q215" s="1323"/>
      <c r="R215" s="1319"/>
    </row>
    <row r="216" spans="1:18" ht="18" x14ac:dyDescent="0.2">
      <c r="A216" s="1324" t="s">
        <v>935</v>
      </c>
      <c r="B216" s="494" t="s">
        <v>1733</v>
      </c>
      <c r="C216" s="1586"/>
      <c r="D216" s="290">
        <f t="shared" si="9"/>
        <v>158.51995906207031</v>
      </c>
      <c r="E216" s="164"/>
      <c r="F216" s="243">
        <v>26418172</v>
      </c>
      <c r="G216" s="214">
        <v>19816280</v>
      </c>
      <c r="H216" s="214">
        <v>26639756</v>
      </c>
      <c r="I216" s="214">
        <v>17389180</v>
      </c>
      <c r="J216" s="184">
        <v>6235644</v>
      </c>
      <c r="K216" s="184">
        <v>5892360</v>
      </c>
      <c r="L216" s="184">
        <v>23618928</v>
      </c>
      <c r="M216" s="8"/>
      <c r="N216" s="427"/>
      <c r="O216" s="1321"/>
      <c r="P216" s="1322"/>
      <c r="Q216" s="1323"/>
      <c r="R216" s="1319"/>
    </row>
    <row r="217" spans="1:18" ht="18" x14ac:dyDescent="0.2">
      <c r="A217" s="1324"/>
      <c r="B217" s="495" t="s">
        <v>2074</v>
      </c>
      <c r="C217" s="344"/>
      <c r="D217" s="290">
        <f t="shared" si="9"/>
        <v>159.20932252659284</v>
      </c>
      <c r="E217" s="164"/>
      <c r="F217" s="243">
        <v>27854404</v>
      </c>
      <c r="G217" s="214">
        <v>19969508</v>
      </c>
      <c r="H217" s="214">
        <v>27038984</v>
      </c>
      <c r="I217" s="214">
        <v>17818604</v>
      </c>
      <c r="J217" s="184">
        <v>6421771</v>
      </c>
      <c r="K217" s="184">
        <v>5264760</v>
      </c>
      <c r="L217" s="184">
        <v>23854265</v>
      </c>
      <c r="M217" s="8"/>
      <c r="N217" s="1330"/>
      <c r="O217" s="1321"/>
      <c r="P217" s="1322"/>
      <c r="Q217" s="1323"/>
      <c r="R217" s="1319"/>
    </row>
    <row r="218" spans="1:18" ht="18" x14ac:dyDescent="0.2">
      <c r="A218" s="1324"/>
      <c r="B218" s="555" t="s">
        <v>1048</v>
      </c>
      <c r="C218" s="346"/>
      <c r="D218" s="290">
        <f t="shared" si="9"/>
        <v>160.79257402841861</v>
      </c>
      <c r="E218" s="164"/>
      <c r="F218" s="205">
        <v>26509322</v>
      </c>
      <c r="G218" s="334">
        <v>20973821</v>
      </c>
      <c r="H218" s="334">
        <v>26306149</v>
      </c>
      <c r="I218" s="334">
        <v>20768117</v>
      </c>
      <c r="J218" s="184">
        <v>4811286</v>
      </c>
      <c r="K218" s="184">
        <v>6335602</v>
      </c>
      <c r="L218" s="184">
        <v>26857344</v>
      </c>
      <c r="M218" s="8"/>
      <c r="N218" s="427"/>
      <c r="O218" s="1321"/>
      <c r="P218" s="1322"/>
      <c r="Q218" s="1323"/>
      <c r="R218" s="1319"/>
    </row>
    <row r="219" spans="1:18" ht="18" x14ac:dyDescent="0.25">
      <c r="A219" s="1324"/>
      <c r="B219" s="500" t="s">
        <v>1436</v>
      </c>
      <c r="C219" s="331"/>
      <c r="D219" s="290">
        <f t="shared" si="9"/>
        <v>160.94788920953474</v>
      </c>
      <c r="E219" s="164">
        <f>316.4+260.8+73.1+332.9+150+91.2</f>
        <v>1224.4000000000001</v>
      </c>
      <c r="F219" s="205">
        <v>26956143</v>
      </c>
      <c r="G219" s="334">
        <v>20276686</v>
      </c>
      <c r="H219" s="334">
        <v>27430527</v>
      </c>
      <c r="I219" s="334">
        <v>19240178</v>
      </c>
      <c r="J219" s="184">
        <v>5596884</v>
      </c>
      <c r="K219" s="184">
        <v>6104059</v>
      </c>
      <c r="L219" s="184">
        <v>25034492</v>
      </c>
      <c r="M219" s="8"/>
      <c r="N219" s="427"/>
      <c r="O219" s="1327"/>
      <c r="P219" s="1322"/>
      <c r="Q219" s="1331"/>
      <c r="R219" s="1332"/>
    </row>
    <row r="220" spans="1:18" ht="18" x14ac:dyDescent="0.25">
      <c r="A220" s="1324" t="s">
        <v>936</v>
      </c>
      <c r="B220" s="497" t="s">
        <v>1434</v>
      </c>
      <c r="C220" s="335" t="s">
        <v>40</v>
      </c>
      <c r="D220" s="290">
        <f t="shared" si="9"/>
        <v>161.12157807237188</v>
      </c>
      <c r="E220" s="164">
        <f>2449.6+1428.5+901.2+1417.4+2285.7+949.3+2048</f>
        <v>11479.7</v>
      </c>
      <c r="F220" s="205">
        <v>25642480</v>
      </c>
      <c r="G220" s="334">
        <v>20027048</v>
      </c>
      <c r="H220" s="334">
        <v>26924875</v>
      </c>
      <c r="I220" s="334">
        <v>19476865</v>
      </c>
      <c r="J220" s="184">
        <v>5761798</v>
      </c>
      <c r="K220" s="184">
        <v>6186957</v>
      </c>
      <c r="L220" s="184">
        <v>25363167</v>
      </c>
      <c r="M220" s="8"/>
      <c r="N220" s="427"/>
      <c r="O220" s="1327"/>
      <c r="P220" s="1322"/>
      <c r="Q220" s="1331"/>
      <c r="R220" s="1332"/>
    </row>
    <row r="221" spans="1:18" ht="18" x14ac:dyDescent="0.2">
      <c r="A221" s="1324" t="s">
        <v>937</v>
      </c>
      <c r="B221" s="495" t="s">
        <v>1432</v>
      </c>
      <c r="C221" s="335" t="s">
        <v>40</v>
      </c>
      <c r="D221" s="290">
        <f t="shared" si="9"/>
        <v>161.59777147844363</v>
      </c>
      <c r="E221" s="164">
        <f>119.9+95+50.1+90.8+161.5+61.5+125.8</f>
        <v>704.59999999999991</v>
      </c>
      <c r="F221" s="333">
        <v>25643035</v>
      </c>
      <c r="G221" s="330">
        <v>20027483</v>
      </c>
      <c r="H221" s="183">
        <v>26937990</v>
      </c>
      <c r="I221" s="183">
        <v>19559362</v>
      </c>
      <c r="J221" s="184">
        <v>5821538</v>
      </c>
      <c r="K221" s="184">
        <v>6187068</v>
      </c>
      <c r="L221" s="184">
        <v>25415159</v>
      </c>
      <c r="M221" s="8"/>
      <c r="N221" s="427"/>
      <c r="O221" s="1321"/>
      <c r="P221" s="1322"/>
      <c r="Q221" s="1331"/>
      <c r="R221" s="1319"/>
    </row>
    <row r="222" spans="1:18" ht="18" customHeight="1" x14ac:dyDescent="0.25">
      <c r="A222" s="1324" t="s">
        <v>938</v>
      </c>
      <c r="B222" s="2494" t="s">
        <v>1863</v>
      </c>
      <c r="C222" s="338" t="s">
        <v>40</v>
      </c>
      <c r="D222" s="290">
        <f t="shared" si="9"/>
        <v>166.59043549710856</v>
      </c>
      <c r="E222" s="164">
        <f>21.5+15+16.1+14.8+6.3+5.8+19.8</f>
        <v>99.3</v>
      </c>
      <c r="F222" s="205">
        <v>27717292</v>
      </c>
      <c r="G222" s="334">
        <v>20768784</v>
      </c>
      <c r="H222" s="334">
        <v>29825984</v>
      </c>
      <c r="I222" s="334">
        <v>21005659</v>
      </c>
      <c r="J222" s="184">
        <v>5241047</v>
      </c>
      <c r="K222" s="184">
        <v>6443714</v>
      </c>
      <c r="L222" s="184">
        <v>26438390</v>
      </c>
      <c r="M222" s="8"/>
      <c r="N222" s="427"/>
      <c r="O222" s="1321"/>
      <c r="P222" s="1322"/>
      <c r="Q222" s="1323"/>
      <c r="R222" s="1319"/>
    </row>
    <row r="223" spans="1:18" ht="18" customHeight="1" x14ac:dyDescent="0.2">
      <c r="A223" s="1324"/>
      <c r="B223" s="502" t="s">
        <v>1870</v>
      </c>
      <c r="C223" s="1384" t="s">
        <v>40</v>
      </c>
      <c r="D223" s="290">
        <f t="shared" si="9"/>
        <v>166.71523580791256</v>
      </c>
      <c r="E223" s="1362">
        <f>7.87+6.13+7+5.55+1.85+1.88+7.13</f>
        <v>37.410000000000004</v>
      </c>
      <c r="F223" s="1377">
        <v>26386647</v>
      </c>
      <c r="G223" s="1378">
        <v>20726722</v>
      </c>
      <c r="H223" s="1378">
        <v>28323508</v>
      </c>
      <c r="I223" s="1378">
        <v>20105802</v>
      </c>
      <c r="J223" s="1379">
        <v>5928542</v>
      </c>
      <c r="K223" s="1379">
        <v>6391840</v>
      </c>
      <c r="L223" s="1379">
        <v>26327140</v>
      </c>
      <c r="M223" s="8"/>
      <c r="N223" s="1330"/>
      <c r="O223" s="1321"/>
      <c r="P223" s="1322"/>
      <c r="Q223" s="1323"/>
      <c r="R223" s="1319"/>
    </row>
    <row r="224" spans="1:18" ht="18" x14ac:dyDescent="0.2">
      <c r="A224" s="1324" t="s">
        <v>940</v>
      </c>
      <c r="B224" s="497" t="s">
        <v>1327</v>
      </c>
      <c r="C224" s="343"/>
      <c r="D224" s="290">
        <f t="shared" si="9"/>
        <v>166.87756334717625</v>
      </c>
      <c r="E224" s="164">
        <f>14.09+10.63+13+10.56+3.67+3.42+13.98</f>
        <v>69.350000000000009</v>
      </c>
      <c r="F224" s="243">
        <v>26970357</v>
      </c>
      <c r="G224" s="214">
        <v>21010094</v>
      </c>
      <c r="H224" s="214">
        <v>28653550</v>
      </c>
      <c r="I224" s="214">
        <v>20840230</v>
      </c>
      <c r="J224" s="184">
        <v>5693123</v>
      </c>
      <c r="K224" s="184">
        <v>5967501</v>
      </c>
      <c r="L224" s="184">
        <v>27829081</v>
      </c>
      <c r="M224" s="8"/>
      <c r="N224" s="1330"/>
      <c r="O224" s="1321"/>
      <c r="P224" s="1322"/>
      <c r="Q224" s="1323"/>
      <c r="R224" s="1319"/>
    </row>
    <row r="225" spans="1:18" ht="18" x14ac:dyDescent="0.2">
      <c r="A225" s="1324" t="s">
        <v>941</v>
      </c>
      <c r="B225" s="494" t="s">
        <v>1746</v>
      </c>
      <c r="C225" s="345"/>
      <c r="D225" s="290">
        <f t="shared" si="9"/>
        <v>169.73320546074447</v>
      </c>
      <c r="E225" s="164"/>
      <c r="F225" s="243">
        <v>28453631</v>
      </c>
      <c r="G225" s="214">
        <v>24886801</v>
      </c>
      <c r="H225" s="214">
        <v>26999683</v>
      </c>
      <c r="I225" s="214">
        <v>20290860</v>
      </c>
      <c r="J225" s="184">
        <v>3261622</v>
      </c>
      <c r="K225" s="184">
        <v>8711176</v>
      </c>
      <c r="L225" s="184">
        <v>29181974</v>
      </c>
      <c r="M225" s="8"/>
      <c r="N225" s="427"/>
      <c r="O225" s="1321"/>
      <c r="P225" s="1322"/>
      <c r="Q225" s="1323"/>
      <c r="R225" s="1319"/>
    </row>
    <row r="226" spans="1:18" ht="18" x14ac:dyDescent="0.25">
      <c r="A226" s="1324" t="s">
        <v>942</v>
      </c>
      <c r="B226" s="509" t="s">
        <v>1734</v>
      </c>
      <c r="C226" s="331" t="s">
        <v>40</v>
      </c>
      <c r="D226" s="290">
        <f t="shared" si="9"/>
        <v>169.99386273141616</v>
      </c>
      <c r="E226" s="164"/>
      <c r="F226" s="243">
        <v>29035333</v>
      </c>
      <c r="G226" s="214">
        <v>23736186</v>
      </c>
      <c r="H226" s="214">
        <v>27974422</v>
      </c>
      <c r="I226" s="214">
        <v>20712007</v>
      </c>
      <c r="J226" s="184">
        <v>3739872</v>
      </c>
      <c r="K226" s="184">
        <v>8153446</v>
      </c>
      <c r="L226" s="184">
        <v>28664439</v>
      </c>
      <c r="M226" s="8"/>
      <c r="N226" s="1330"/>
      <c r="O226" s="1327"/>
      <c r="P226" s="1322"/>
      <c r="Q226" s="1323"/>
      <c r="R226" s="1319"/>
    </row>
    <row r="227" spans="1:18" ht="18" x14ac:dyDescent="0.2">
      <c r="A227" s="1324"/>
      <c r="B227" s="497" t="s">
        <v>1711</v>
      </c>
      <c r="C227" s="314" t="s">
        <v>40</v>
      </c>
      <c r="D227" s="290">
        <f t="shared" si="9"/>
        <v>172.52833832282454</v>
      </c>
      <c r="E227" s="164">
        <f>13.4+7.1+12.9+12.6+1.6+1.5+8.1</f>
        <v>57.2</v>
      </c>
      <c r="F227" s="243">
        <v>29773607</v>
      </c>
      <c r="G227" s="244">
        <v>22848394</v>
      </c>
      <c r="H227" s="244">
        <v>27143685</v>
      </c>
      <c r="I227" s="244">
        <v>22217039</v>
      </c>
      <c r="J227" s="196">
        <v>5518320</v>
      </c>
      <c r="K227" s="196">
        <v>6302141</v>
      </c>
      <c r="L227" s="196">
        <v>28320483</v>
      </c>
      <c r="M227" s="8"/>
      <c r="N227" s="427"/>
      <c r="O227" s="1321"/>
      <c r="P227" s="1322"/>
      <c r="Q227" s="1323"/>
      <c r="R227" s="1319"/>
    </row>
    <row r="228" spans="1:18" ht="18" x14ac:dyDescent="0.2">
      <c r="A228" s="1324"/>
      <c r="B228" s="2313" t="s">
        <v>1328</v>
      </c>
      <c r="C228" s="3125"/>
      <c r="D228" s="290">
        <f t="shared" si="9"/>
        <v>174.36910661866597</v>
      </c>
      <c r="E228" s="164">
        <f>5.28+3.28+3+3.22+1.59+1.26+4.32</f>
        <v>21.950000000000003</v>
      </c>
      <c r="F228" s="243">
        <v>28927899</v>
      </c>
      <c r="G228" s="244">
        <v>21558307</v>
      </c>
      <c r="H228" s="244">
        <v>27730766</v>
      </c>
      <c r="I228" s="244">
        <v>20238506</v>
      </c>
      <c r="J228" s="196">
        <v>6616021</v>
      </c>
      <c r="K228" s="196">
        <v>6685201</v>
      </c>
      <c r="L228" s="196">
        <v>26547646</v>
      </c>
      <c r="M228" s="8"/>
      <c r="N228" s="427"/>
      <c r="O228" s="1321"/>
      <c r="P228" s="1322"/>
      <c r="Q228" s="1323"/>
      <c r="R228" s="1319"/>
    </row>
    <row r="229" spans="1:18" ht="18" x14ac:dyDescent="0.2">
      <c r="A229" s="1324"/>
      <c r="B229" s="2313" t="s">
        <v>2585</v>
      </c>
      <c r="C229" s="314"/>
      <c r="D229" s="290">
        <f t="shared" si="9"/>
        <v>175.10336585484583</v>
      </c>
      <c r="E229" s="164">
        <f>39+19+20+22+21+6+27</f>
        <v>154</v>
      </c>
      <c r="F229" s="243">
        <v>31020626</v>
      </c>
      <c r="G229" s="244">
        <v>23801414</v>
      </c>
      <c r="H229" s="244">
        <v>26789045</v>
      </c>
      <c r="I229" s="244">
        <v>20690844</v>
      </c>
      <c r="J229" s="196">
        <v>4548661</v>
      </c>
      <c r="K229" s="196">
        <v>8078481</v>
      </c>
      <c r="L229" s="196">
        <v>29064003</v>
      </c>
      <c r="M229" s="8"/>
      <c r="N229" s="427"/>
      <c r="O229" s="1321"/>
      <c r="P229" s="1322"/>
      <c r="Q229" s="1323"/>
      <c r="R229" s="1319"/>
    </row>
    <row r="230" spans="1:18" ht="18" x14ac:dyDescent="0.2">
      <c r="A230" s="1333"/>
      <c r="B230" s="497" t="s">
        <v>1100</v>
      </c>
      <c r="C230" s="336" t="s">
        <v>40</v>
      </c>
      <c r="D230" s="290">
        <f t="shared" si="9"/>
        <v>175.30347600631711</v>
      </c>
      <c r="E230" s="164"/>
      <c r="F230" s="243">
        <v>29976892</v>
      </c>
      <c r="G230" s="214">
        <v>24390163</v>
      </c>
      <c r="H230" s="214">
        <v>27577160</v>
      </c>
      <c r="I230" s="214">
        <v>21372142</v>
      </c>
      <c r="J230" s="184">
        <v>3940300</v>
      </c>
      <c r="K230" s="184">
        <v>8519152</v>
      </c>
      <c r="L230" s="184">
        <v>29571210</v>
      </c>
      <c r="M230" s="8"/>
      <c r="N230" s="427"/>
      <c r="O230" s="1321"/>
      <c r="P230" s="1322"/>
      <c r="Q230" s="1323"/>
      <c r="R230" s="1319"/>
    </row>
    <row r="231" spans="1:18" ht="18" x14ac:dyDescent="0.2">
      <c r="A231" s="1333"/>
      <c r="B231" s="509" t="s">
        <v>1330</v>
      </c>
      <c r="C231" s="335" t="s">
        <v>40</v>
      </c>
      <c r="D231" s="290">
        <f t="shared" si="9"/>
        <v>177.60758620199576</v>
      </c>
      <c r="E231" s="164">
        <f>3.46+3.56+3.56+2.79+0.7+1.29+4.3</f>
        <v>19.66</v>
      </c>
      <c r="F231" s="243">
        <v>31322769</v>
      </c>
      <c r="G231" s="214">
        <v>23727562</v>
      </c>
      <c r="H231" s="214">
        <v>29200624</v>
      </c>
      <c r="I231" s="214">
        <v>20444990</v>
      </c>
      <c r="J231" s="184">
        <v>4702135</v>
      </c>
      <c r="K231" s="184">
        <v>8565374</v>
      </c>
      <c r="L231" s="184">
        <v>26923180</v>
      </c>
      <c r="M231" s="8"/>
      <c r="N231" s="427"/>
      <c r="O231" s="1321"/>
      <c r="P231" s="1322"/>
      <c r="Q231" s="1323"/>
      <c r="R231" s="1319"/>
    </row>
    <row r="232" spans="1:18" ht="18" x14ac:dyDescent="0.2">
      <c r="A232" s="1333"/>
      <c r="B232" s="495" t="s">
        <v>1735</v>
      </c>
      <c r="C232" s="331" t="s">
        <v>40</v>
      </c>
      <c r="D232" s="290">
        <f t="shared" si="9"/>
        <v>177.73246508360555</v>
      </c>
      <c r="E232" s="164"/>
      <c r="F232" s="243">
        <v>28116375</v>
      </c>
      <c r="G232" s="214">
        <v>21956806</v>
      </c>
      <c r="H232" s="214">
        <v>28704639</v>
      </c>
      <c r="I232" s="214">
        <v>21802604</v>
      </c>
      <c r="J232" s="184">
        <v>6083565</v>
      </c>
      <c r="K232" s="184">
        <v>7374379</v>
      </c>
      <c r="L232" s="184">
        <v>27665856</v>
      </c>
      <c r="M232" s="8"/>
      <c r="N232" s="427"/>
      <c r="O232" s="1321"/>
      <c r="P232" s="1322"/>
      <c r="Q232" s="1323"/>
      <c r="R232" s="1319"/>
    </row>
    <row r="233" spans="1:18" ht="18" x14ac:dyDescent="0.2">
      <c r="A233" s="1333"/>
      <c r="B233" s="494" t="s">
        <v>1907</v>
      </c>
      <c r="C233" s="328"/>
      <c r="D233" s="290">
        <f t="shared" ref="D233:D244" si="10">SUM(F233/F$102,G233/G$102,H233/H$102,I233/I$102,J233/J$102,K233/K$102,L233/L$102)/7*100</f>
        <v>178.25160729626398</v>
      </c>
      <c r="E233" s="164">
        <f>2101.25+1650.59+4209.21+1209.17+185.17+236.66+1793.34</f>
        <v>11385.390000000001</v>
      </c>
      <c r="F233" s="243">
        <v>33212374</v>
      </c>
      <c r="G233" s="214">
        <v>26734394</v>
      </c>
      <c r="H233" s="214">
        <v>37464528</v>
      </c>
      <c r="I233" s="214">
        <v>20554985</v>
      </c>
      <c r="J233" s="184">
        <v>4523579</v>
      </c>
      <c r="K233" s="184">
        <v>6149362</v>
      </c>
      <c r="L233" s="184">
        <v>28335701</v>
      </c>
      <c r="M233" s="8"/>
      <c r="N233" s="427"/>
      <c r="O233" s="1321"/>
      <c r="P233" s="1322"/>
      <c r="Q233" s="1323"/>
      <c r="R233" s="1319"/>
    </row>
    <row r="234" spans="1:18" ht="18" x14ac:dyDescent="0.2">
      <c r="A234" s="1333"/>
      <c r="B234" s="497" t="s">
        <v>1775</v>
      </c>
      <c r="C234" s="339" t="s">
        <v>40</v>
      </c>
      <c r="D234" s="290">
        <f t="shared" si="10"/>
        <v>182.9032288731666</v>
      </c>
      <c r="E234" s="164">
        <f>4.32+3.04+3.23+2.97+1.28+1.13+4.115</f>
        <v>20.085000000000001</v>
      </c>
      <c r="F234" s="243">
        <v>28494123</v>
      </c>
      <c r="G234" s="214">
        <v>22466831</v>
      </c>
      <c r="H234" s="214">
        <v>33139828</v>
      </c>
      <c r="I234" s="214">
        <v>21946316</v>
      </c>
      <c r="J234" s="184">
        <v>6445724</v>
      </c>
      <c r="K234" s="184">
        <v>7002544</v>
      </c>
      <c r="L234" s="184">
        <v>28554897</v>
      </c>
      <c r="M234" s="8"/>
      <c r="N234" s="427"/>
      <c r="O234" s="1321"/>
      <c r="P234" s="1322"/>
      <c r="Q234" s="1323"/>
      <c r="R234" s="1319"/>
    </row>
    <row r="235" spans="1:18" ht="18" x14ac:dyDescent="0.2">
      <c r="A235" s="1333"/>
      <c r="B235" s="2313" t="s">
        <v>1329</v>
      </c>
      <c r="C235" s="405"/>
      <c r="D235" s="290">
        <f t="shared" si="10"/>
        <v>184.48478712140104</v>
      </c>
      <c r="E235" s="164">
        <f>2.93+1.77+1.2+1.77+1.84+0.94+2.63</f>
        <v>13.079999999999998</v>
      </c>
      <c r="F235" s="243">
        <v>31203022</v>
      </c>
      <c r="G235" s="214">
        <v>22942170</v>
      </c>
      <c r="H235" s="214">
        <v>28653826</v>
      </c>
      <c r="I235" s="214">
        <v>22165878</v>
      </c>
      <c r="J235" s="184">
        <v>6517290</v>
      </c>
      <c r="K235" s="184">
        <v>7261728</v>
      </c>
      <c r="L235" s="184">
        <v>28929526</v>
      </c>
      <c r="M235" s="8"/>
      <c r="N235" s="427"/>
      <c r="O235" s="1321"/>
      <c r="P235" s="1322"/>
      <c r="Q235" s="1323"/>
      <c r="R235" s="1319"/>
    </row>
    <row r="236" spans="1:18" ht="18" x14ac:dyDescent="0.2">
      <c r="A236" s="1333"/>
      <c r="B236" s="497" t="s">
        <v>2075</v>
      </c>
      <c r="C236" s="337"/>
      <c r="D236" s="290">
        <f t="shared" si="10"/>
        <v>187.51748018073059</v>
      </c>
      <c r="E236" s="164">
        <f>15+5+2+5+2+2+9</f>
        <v>40</v>
      </c>
      <c r="F236" s="243">
        <v>30064069</v>
      </c>
      <c r="G236" s="214">
        <v>23391152</v>
      </c>
      <c r="H236" s="214">
        <v>29961957</v>
      </c>
      <c r="I236" s="214">
        <v>23454188</v>
      </c>
      <c r="J236" s="184">
        <v>6414168</v>
      </c>
      <c r="K236" s="184">
        <v>7282182</v>
      </c>
      <c r="L236" s="184">
        <v>30589571</v>
      </c>
      <c r="M236" s="8"/>
      <c r="N236" s="427"/>
      <c r="O236" s="1321"/>
      <c r="P236" s="1322"/>
      <c r="Q236" s="1323"/>
      <c r="R236" s="1319"/>
    </row>
    <row r="237" spans="1:18" ht="18" x14ac:dyDescent="0.2">
      <c r="A237" s="1320"/>
      <c r="B237" s="510" t="s">
        <v>530</v>
      </c>
      <c r="C237" s="347"/>
      <c r="D237" s="290">
        <f t="shared" si="10"/>
        <v>189.54562157998311</v>
      </c>
      <c r="E237" s="164"/>
      <c r="F237" s="243">
        <v>19223258</v>
      </c>
      <c r="G237" s="214">
        <v>22694428</v>
      </c>
      <c r="H237" s="214">
        <v>29165118</v>
      </c>
      <c r="I237" s="214">
        <v>12547940</v>
      </c>
      <c r="J237" s="184">
        <v>6793024</v>
      </c>
      <c r="K237" s="184">
        <v>13252406</v>
      </c>
      <c r="L237" s="184">
        <v>29179430</v>
      </c>
      <c r="M237" s="8"/>
      <c r="N237" s="427"/>
      <c r="O237" s="1321"/>
      <c r="P237" s="1322"/>
      <c r="Q237" s="1323"/>
      <c r="R237" s="1319"/>
    </row>
    <row r="238" spans="1:18" ht="18" x14ac:dyDescent="0.2">
      <c r="A238" s="1320"/>
      <c r="B238" s="2313" t="s">
        <v>1136</v>
      </c>
      <c r="C238" s="346"/>
      <c r="D238" s="290">
        <f t="shared" si="10"/>
        <v>198.34133175184735</v>
      </c>
      <c r="E238" s="164">
        <f>1.25+0.84+0.88+0.84+0.36+0.31+1.11</f>
        <v>5.59</v>
      </c>
      <c r="F238" s="243">
        <v>33372920</v>
      </c>
      <c r="G238" s="214">
        <v>25334696</v>
      </c>
      <c r="H238" s="214">
        <v>35724366</v>
      </c>
      <c r="I238" s="214">
        <v>23550726</v>
      </c>
      <c r="J238" s="184">
        <v>6590060</v>
      </c>
      <c r="K238" s="184">
        <v>7522058</v>
      </c>
      <c r="L238" s="184">
        <v>30910170</v>
      </c>
      <c r="M238" s="8"/>
      <c r="N238" s="427"/>
      <c r="O238" s="1321"/>
      <c r="P238" s="1322"/>
      <c r="Q238" s="1323"/>
      <c r="R238" s="1319"/>
    </row>
    <row r="239" spans="1:18" ht="18" x14ac:dyDescent="0.2">
      <c r="A239" s="1320"/>
      <c r="B239" s="495" t="s">
        <v>1331</v>
      </c>
      <c r="C239" s="331" t="s">
        <v>40</v>
      </c>
      <c r="D239" s="290">
        <f t="shared" si="10"/>
        <v>200.98533086061815</v>
      </c>
      <c r="E239" s="164"/>
      <c r="F239" s="243">
        <v>31907064</v>
      </c>
      <c r="G239" s="214">
        <v>23548111</v>
      </c>
      <c r="H239" s="214">
        <v>30410293</v>
      </c>
      <c r="I239" s="214">
        <v>23664071</v>
      </c>
      <c r="J239" s="184">
        <v>8248943</v>
      </c>
      <c r="K239" s="184">
        <v>7450120</v>
      </c>
      <c r="L239" s="184">
        <v>31587166</v>
      </c>
      <c r="M239" s="8"/>
      <c r="N239" s="1330"/>
      <c r="O239" s="1321"/>
      <c r="P239" s="1322"/>
      <c r="Q239" s="1323"/>
      <c r="R239" s="1319"/>
    </row>
    <row r="240" spans="1:18" ht="18" x14ac:dyDescent="0.2">
      <c r="A240" s="1320"/>
      <c r="B240" s="497" t="s">
        <v>1736</v>
      </c>
      <c r="C240" s="326"/>
      <c r="D240" s="290">
        <f t="shared" si="10"/>
        <v>240.70487771884709</v>
      </c>
      <c r="E240" s="164"/>
      <c r="F240" s="243">
        <v>38253938</v>
      </c>
      <c r="G240" s="214">
        <v>30100873</v>
      </c>
      <c r="H240" s="214">
        <v>31111503</v>
      </c>
      <c r="I240" s="214">
        <v>30685041</v>
      </c>
      <c r="J240" s="184">
        <v>8339522</v>
      </c>
      <c r="K240" s="184">
        <v>9867014</v>
      </c>
      <c r="L240" s="184">
        <v>41342156</v>
      </c>
      <c r="M240" s="8"/>
      <c r="N240" s="427"/>
      <c r="O240" s="1321"/>
      <c r="P240" s="1322"/>
      <c r="Q240" s="1323"/>
      <c r="R240" s="1319"/>
    </row>
    <row r="241" spans="1:18" ht="18" x14ac:dyDescent="0.2">
      <c r="A241" s="1320"/>
      <c r="B241" s="497" t="s">
        <v>953</v>
      </c>
      <c r="C241" s="201" t="s">
        <v>40</v>
      </c>
      <c r="D241" s="290">
        <f t="shared" si="10"/>
        <v>242.08748678041485</v>
      </c>
      <c r="E241" s="164"/>
      <c r="F241" s="243">
        <v>41668937</v>
      </c>
      <c r="G241" s="214">
        <v>31229031</v>
      </c>
      <c r="H241" s="214">
        <v>32379850</v>
      </c>
      <c r="I241" s="214">
        <v>29377761</v>
      </c>
      <c r="J241" s="184">
        <v>7152497</v>
      </c>
      <c r="K241" s="184">
        <v>11159018</v>
      </c>
      <c r="L241" s="184">
        <v>40568128</v>
      </c>
      <c r="M241" s="8"/>
      <c r="N241" s="427"/>
      <c r="O241" s="1321"/>
      <c r="P241" s="1322"/>
      <c r="Q241" s="1323"/>
      <c r="R241" s="1319"/>
    </row>
    <row r="242" spans="1:18" ht="18" x14ac:dyDescent="0.2">
      <c r="A242" s="1320"/>
      <c r="B242" s="1408" t="s">
        <v>1123</v>
      </c>
      <c r="C242" s="1541"/>
      <c r="D242" s="290">
        <f t="shared" si="10"/>
        <v>242.69529055721799</v>
      </c>
      <c r="E242" s="1362"/>
      <c r="F242" s="1366">
        <v>41742070</v>
      </c>
      <c r="G242" s="1367">
        <v>31314197</v>
      </c>
      <c r="H242" s="1367">
        <v>32505367</v>
      </c>
      <c r="I242" s="1367">
        <v>29453229</v>
      </c>
      <c r="J242" s="1379">
        <v>7163920</v>
      </c>
      <c r="K242" s="1379">
        <v>11189619</v>
      </c>
      <c r="L242" s="1379">
        <v>40680970</v>
      </c>
      <c r="M242" s="8"/>
      <c r="N242" s="427"/>
      <c r="O242" s="1321"/>
      <c r="P242" s="1322"/>
      <c r="Q242" s="1323"/>
      <c r="R242" s="1319"/>
    </row>
    <row r="243" spans="1:18" ht="18" x14ac:dyDescent="0.2">
      <c r="A243" s="1320"/>
      <c r="B243" s="502" t="s">
        <v>1435</v>
      </c>
      <c r="C243" s="335"/>
      <c r="D243" s="290">
        <f t="shared" si="10"/>
        <v>243.98020445458167</v>
      </c>
      <c r="E243" s="164"/>
      <c r="F243" s="243">
        <v>41766318</v>
      </c>
      <c r="G243" s="214">
        <v>31356525</v>
      </c>
      <c r="H243" s="214">
        <v>32543751</v>
      </c>
      <c r="I243" s="214">
        <v>29490554</v>
      </c>
      <c r="J243" s="184">
        <v>7349010</v>
      </c>
      <c r="K243" s="184">
        <v>11222933</v>
      </c>
      <c r="L243" s="184">
        <v>40711632</v>
      </c>
      <c r="M243" s="8"/>
      <c r="N243" s="427"/>
      <c r="O243" s="1321"/>
      <c r="P243" s="1322"/>
      <c r="Q243" s="1323"/>
      <c r="R243" s="1319"/>
    </row>
    <row r="244" spans="1:18" ht="18" x14ac:dyDescent="0.2">
      <c r="A244" s="1320"/>
      <c r="B244" s="511" t="s">
        <v>1050</v>
      </c>
      <c r="C244" s="326"/>
      <c r="D244" s="290">
        <f t="shared" si="10"/>
        <v>245.95574882067362</v>
      </c>
      <c r="E244" s="164"/>
      <c r="F244" s="243">
        <v>42126382</v>
      </c>
      <c r="G244" s="214">
        <v>31495797</v>
      </c>
      <c r="H244" s="214">
        <v>32518422</v>
      </c>
      <c r="I244" s="214">
        <v>29712828</v>
      </c>
      <c r="J244" s="184">
        <v>7466901</v>
      </c>
      <c r="K244" s="184">
        <v>11297889</v>
      </c>
      <c r="L244" s="184">
        <v>41129116</v>
      </c>
      <c r="M244" s="8"/>
      <c r="N244" s="427"/>
      <c r="O244" s="1321"/>
      <c r="P244" s="1322"/>
      <c r="Q244" s="1323"/>
      <c r="R244" s="1319"/>
    </row>
    <row r="245" spans="1:18" ht="18" x14ac:dyDescent="0.2">
      <c r="A245" s="1320"/>
      <c r="B245" s="504" t="s">
        <v>1023</v>
      </c>
      <c r="C245" s="337"/>
      <c r="D245" s="290">
        <f t="shared" ref="D245:D251" si="11">SUM(F245/F$102,G245/G$102,H245/H$102,I245/I$102,J245/J$102,K245/K$102,L245/L$102)/7*100</f>
        <v>247.81689773203149</v>
      </c>
      <c r="E245" s="164"/>
      <c r="F245" s="243">
        <v>23460139</v>
      </c>
      <c r="G245" s="214">
        <v>19883424</v>
      </c>
      <c r="H245" s="214">
        <v>35630736</v>
      </c>
      <c r="I245" s="214">
        <v>12378455</v>
      </c>
      <c r="J245" s="184">
        <v>17965104</v>
      </c>
      <c r="K245" s="184">
        <v>14337044</v>
      </c>
      <c r="L245" s="184">
        <v>17039360</v>
      </c>
      <c r="M245" s="8"/>
      <c r="N245" s="427"/>
      <c r="O245" s="1321"/>
      <c r="P245" s="1322"/>
      <c r="Q245" s="1323"/>
      <c r="R245" s="1319"/>
    </row>
    <row r="246" spans="1:18" ht="18" x14ac:dyDescent="0.2">
      <c r="A246" s="1320"/>
      <c r="B246" s="495" t="s">
        <v>1121</v>
      </c>
      <c r="C246" s="326"/>
      <c r="D246" s="290">
        <f t="shared" si="11"/>
        <v>263.82290987581115</v>
      </c>
      <c r="E246" s="164"/>
      <c r="F246" s="243">
        <v>45410676</v>
      </c>
      <c r="G246" s="214">
        <v>34198374</v>
      </c>
      <c r="H246" s="214">
        <v>37463719</v>
      </c>
      <c r="I246" s="214">
        <v>31317794</v>
      </c>
      <c r="J246" s="184">
        <v>7658500</v>
      </c>
      <c r="K246" s="184">
        <v>12345215</v>
      </c>
      <c r="L246" s="184">
        <v>43251402</v>
      </c>
      <c r="M246" s="8"/>
      <c r="N246" s="1330"/>
      <c r="O246" s="1321"/>
      <c r="P246" s="1322"/>
      <c r="Q246" s="1323"/>
      <c r="R246" s="1319"/>
    </row>
    <row r="247" spans="1:18" ht="18" x14ac:dyDescent="0.2">
      <c r="A247" s="1320"/>
      <c r="B247" s="495" t="s">
        <v>1128</v>
      </c>
      <c r="C247" s="344"/>
      <c r="D247" s="290">
        <f t="shared" si="11"/>
        <v>317.90026117032386</v>
      </c>
      <c r="E247" s="164"/>
      <c r="F247" s="243">
        <v>53330756</v>
      </c>
      <c r="G247" s="214">
        <v>35443024</v>
      </c>
      <c r="H247" s="214">
        <v>35988356</v>
      </c>
      <c r="I247" s="214">
        <v>35737920</v>
      </c>
      <c r="J247" s="184">
        <v>13788488</v>
      </c>
      <c r="K247" s="184">
        <v>13676876</v>
      </c>
      <c r="L247" s="184">
        <v>47930196</v>
      </c>
      <c r="M247" s="8"/>
      <c r="N247" s="1330"/>
      <c r="O247" s="1321"/>
      <c r="P247" s="1322"/>
      <c r="Q247" s="1323"/>
      <c r="R247" s="1319"/>
    </row>
    <row r="248" spans="1:18" ht="18" x14ac:dyDescent="0.2">
      <c r="A248" s="1320"/>
      <c r="B248" s="495" t="s">
        <v>1130</v>
      </c>
      <c r="C248" s="344"/>
      <c r="D248" s="290">
        <f t="shared" si="11"/>
        <v>319.70705463518777</v>
      </c>
      <c r="E248" s="164"/>
      <c r="F248" s="243">
        <v>53460596</v>
      </c>
      <c r="G248" s="214">
        <v>35632973</v>
      </c>
      <c r="H248" s="183">
        <v>36241142</v>
      </c>
      <c r="I248" s="183">
        <v>35966620</v>
      </c>
      <c r="J248" s="184">
        <v>13879683</v>
      </c>
      <c r="K248" s="184">
        <v>13770897</v>
      </c>
      <c r="L248" s="184">
        <v>48138381</v>
      </c>
      <c r="M248" s="8"/>
      <c r="N248" s="427"/>
      <c r="O248" s="1321"/>
      <c r="P248" s="1322"/>
      <c r="Q248" s="1323"/>
      <c r="R248" s="1319"/>
    </row>
    <row r="249" spans="1:18" ht="18" x14ac:dyDescent="0.2">
      <c r="A249" s="1320"/>
      <c r="B249" s="516" t="s">
        <v>1889</v>
      </c>
      <c r="C249" s="331"/>
      <c r="D249" s="290">
        <f t="shared" si="11"/>
        <v>320.16664574112912</v>
      </c>
      <c r="E249" s="164"/>
      <c r="F249" s="243">
        <v>53671800</v>
      </c>
      <c r="G249" s="214">
        <v>35696950</v>
      </c>
      <c r="H249" s="183">
        <v>36007584</v>
      </c>
      <c r="I249" s="183">
        <v>36005351</v>
      </c>
      <c r="J249" s="184">
        <v>13916227</v>
      </c>
      <c r="K249" s="184">
        <v>13806923</v>
      </c>
      <c r="L249" s="184">
        <v>48134344</v>
      </c>
      <c r="M249" s="8"/>
      <c r="N249" s="427"/>
      <c r="O249" s="1321"/>
      <c r="P249" s="1322"/>
      <c r="Q249" s="1323"/>
      <c r="R249" s="1319"/>
    </row>
    <row r="250" spans="1:18" ht="18" x14ac:dyDescent="0.2">
      <c r="A250" s="1320"/>
      <c r="B250" s="495" t="s">
        <v>1129</v>
      </c>
      <c r="C250" s="344"/>
      <c r="D250" s="290">
        <f t="shared" si="11"/>
        <v>325.81012326213948</v>
      </c>
      <c r="E250" s="164"/>
      <c r="F250" s="243">
        <v>53514713</v>
      </c>
      <c r="G250" s="214">
        <v>35666329</v>
      </c>
      <c r="H250" s="214">
        <v>35914082</v>
      </c>
      <c r="I250" s="214">
        <v>35435591</v>
      </c>
      <c r="J250" s="184">
        <v>15314025</v>
      </c>
      <c r="K250" s="184">
        <v>13666137</v>
      </c>
      <c r="L250" s="184">
        <v>47793247</v>
      </c>
      <c r="M250" s="8"/>
      <c r="N250" s="427"/>
      <c r="O250" s="1321"/>
      <c r="P250" s="1322"/>
      <c r="Q250" s="1323"/>
      <c r="R250" s="1319"/>
    </row>
    <row r="251" spans="1:18" ht="18" x14ac:dyDescent="0.25">
      <c r="A251" s="1320"/>
      <c r="B251" s="497" t="s">
        <v>1122</v>
      </c>
      <c r="C251" s="338" t="s">
        <v>40</v>
      </c>
      <c r="D251" s="290">
        <f t="shared" si="11"/>
        <v>327.57126754424587</v>
      </c>
      <c r="E251" s="164"/>
      <c r="F251" s="243">
        <v>54448706</v>
      </c>
      <c r="G251" s="214">
        <v>36080363</v>
      </c>
      <c r="H251" s="183">
        <v>36122283</v>
      </c>
      <c r="I251" s="183">
        <v>36222841</v>
      </c>
      <c r="J251" s="184">
        <v>14747512</v>
      </c>
      <c r="K251" s="184">
        <v>14104547</v>
      </c>
      <c r="L251" s="184">
        <v>48606050</v>
      </c>
      <c r="M251" s="8"/>
      <c r="N251" s="427"/>
      <c r="O251" s="1321"/>
      <c r="P251" s="1322"/>
      <c r="Q251" s="1323"/>
      <c r="R251" s="1319"/>
    </row>
    <row r="252" spans="1:18" ht="18" x14ac:dyDescent="0.2">
      <c r="A252" s="1320"/>
      <c r="B252" s="497" t="s">
        <v>1124</v>
      </c>
      <c r="C252" s="343"/>
      <c r="D252" s="290">
        <f t="shared" ref="D252:D258" si="12">SUM(F252/F$102,G252/G$102,H252/H$102,I252/I$102,J252/J$102,K252/K$102,L252/L$102)/7*100</f>
        <v>335.92916815668826</v>
      </c>
      <c r="E252" s="164"/>
      <c r="F252" s="243">
        <v>53747730</v>
      </c>
      <c r="G252" s="214">
        <v>35667084</v>
      </c>
      <c r="H252" s="183">
        <v>35981073</v>
      </c>
      <c r="I252" s="183">
        <v>36578322</v>
      </c>
      <c r="J252" s="184">
        <v>16653942</v>
      </c>
      <c r="K252" s="184">
        <v>13985744</v>
      </c>
      <c r="L252" s="184">
        <v>47793880</v>
      </c>
      <c r="M252" s="8"/>
      <c r="N252" s="427"/>
      <c r="O252" s="1321"/>
      <c r="P252" s="1322"/>
      <c r="Q252" s="1323"/>
      <c r="R252" s="1319"/>
    </row>
    <row r="253" spans="1:18" ht="18" x14ac:dyDescent="0.2">
      <c r="A253" s="1320"/>
      <c r="B253" s="500" t="s">
        <v>1127</v>
      </c>
      <c r="C253" s="348"/>
      <c r="D253" s="290">
        <f t="shared" si="12"/>
        <v>343.92027639965386</v>
      </c>
      <c r="E253" s="164"/>
      <c r="F253" s="243">
        <v>53747732</v>
      </c>
      <c r="G253" s="244">
        <v>36636692</v>
      </c>
      <c r="H253" s="349">
        <v>35979392</v>
      </c>
      <c r="I253" s="349">
        <v>36578324</v>
      </c>
      <c r="J253" s="196">
        <v>17952788</v>
      </c>
      <c r="K253" s="196">
        <v>13939220</v>
      </c>
      <c r="L253" s="196">
        <v>48098324</v>
      </c>
      <c r="M253" s="8"/>
      <c r="N253" s="427"/>
      <c r="O253" s="1321"/>
      <c r="P253" s="1322"/>
      <c r="Q253" s="1323"/>
      <c r="R253" s="1319"/>
    </row>
    <row r="254" spans="1:18" ht="18" x14ac:dyDescent="0.25">
      <c r="A254" s="1320"/>
      <c r="B254" s="494" t="s">
        <v>1133</v>
      </c>
      <c r="C254" s="350"/>
      <c r="D254" s="290">
        <f t="shared" si="12"/>
        <v>343.94257177264728</v>
      </c>
      <c r="E254" s="164"/>
      <c r="F254" s="243">
        <v>53747766</v>
      </c>
      <c r="G254" s="214">
        <v>36636726</v>
      </c>
      <c r="H254" s="214">
        <v>35979426</v>
      </c>
      <c r="I254" s="214">
        <v>36578358</v>
      </c>
      <c r="J254" s="184">
        <v>17956918</v>
      </c>
      <c r="K254" s="184">
        <v>13939254</v>
      </c>
      <c r="L254" s="184">
        <v>48098358</v>
      </c>
      <c r="M254" s="8"/>
      <c r="N254" s="427"/>
      <c r="O254" s="1321"/>
      <c r="P254" s="1322"/>
      <c r="Q254" s="1323"/>
      <c r="R254" s="1319"/>
    </row>
    <row r="255" spans="1:18" ht="18" x14ac:dyDescent="0.25">
      <c r="A255" s="1320"/>
      <c r="B255" s="494" t="s">
        <v>1134</v>
      </c>
      <c r="C255" s="343"/>
      <c r="D255" s="290">
        <f t="shared" si="12"/>
        <v>344.29939686614972</v>
      </c>
      <c r="E255" s="164"/>
      <c r="F255" s="243">
        <v>53780338</v>
      </c>
      <c r="G255" s="214">
        <v>36671858</v>
      </c>
      <c r="H255" s="214">
        <v>35979426</v>
      </c>
      <c r="I255" s="214">
        <v>36615988</v>
      </c>
      <c r="J255" s="184">
        <v>17977420</v>
      </c>
      <c r="K255" s="184">
        <v>13970836</v>
      </c>
      <c r="L255" s="184">
        <v>48108320</v>
      </c>
      <c r="M255" s="8"/>
      <c r="N255" s="432"/>
      <c r="O255" s="1334"/>
      <c r="P255" s="1322"/>
      <c r="Q255" s="1323"/>
      <c r="R255" s="1319"/>
    </row>
    <row r="256" spans="1:18" ht="18" x14ac:dyDescent="0.2">
      <c r="A256" s="1320"/>
      <c r="B256" s="508" t="s">
        <v>1131</v>
      </c>
      <c r="C256" s="351"/>
      <c r="D256" s="290">
        <f t="shared" si="12"/>
        <v>344.82476052948721</v>
      </c>
      <c r="E256" s="164"/>
      <c r="F256" s="243">
        <v>54004951</v>
      </c>
      <c r="G256" s="352">
        <v>36193544</v>
      </c>
      <c r="H256" s="352">
        <v>36049128</v>
      </c>
      <c r="I256" s="352">
        <v>36101536</v>
      </c>
      <c r="J256" s="353">
        <v>18120656</v>
      </c>
      <c r="K256" s="353">
        <v>14069366</v>
      </c>
      <c r="L256" s="353">
        <v>48439646</v>
      </c>
      <c r="M256" s="8"/>
      <c r="N256" s="427"/>
      <c r="O256" s="1321"/>
      <c r="P256" s="1322"/>
      <c r="Q256" s="1323"/>
      <c r="R256" s="1319"/>
    </row>
    <row r="257" spans="1:18" ht="18" x14ac:dyDescent="0.2">
      <c r="A257" s="1320"/>
      <c r="B257" s="495" t="s">
        <v>1138</v>
      </c>
      <c r="C257" s="344"/>
      <c r="D257" s="290">
        <f t="shared" si="12"/>
        <v>347.15880034235198</v>
      </c>
      <c r="E257" s="164"/>
      <c r="F257" s="243">
        <v>54214656</v>
      </c>
      <c r="G257" s="214">
        <v>36970496</v>
      </c>
      <c r="H257" s="214">
        <v>36302848</v>
      </c>
      <c r="I257" s="214">
        <v>36914176</v>
      </c>
      <c r="J257" s="184">
        <v>18127872</v>
      </c>
      <c r="K257" s="184">
        <v>14088704</v>
      </c>
      <c r="L257" s="184">
        <v>48499200</v>
      </c>
      <c r="M257" s="8"/>
      <c r="N257" s="427"/>
      <c r="O257" s="1321"/>
      <c r="P257" s="1322"/>
      <c r="Q257" s="1323"/>
      <c r="R257" s="1319"/>
    </row>
    <row r="258" spans="1:18" ht="18" x14ac:dyDescent="0.2">
      <c r="A258" s="1320"/>
      <c r="B258" s="495" t="s">
        <v>1132</v>
      </c>
      <c r="C258" s="344"/>
      <c r="D258" s="290">
        <f t="shared" si="12"/>
        <v>351.17614073786757</v>
      </c>
      <c r="E258" s="164"/>
      <c r="F258" s="243">
        <v>68554147</v>
      </c>
      <c r="G258" s="214">
        <v>39152900</v>
      </c>
      <c r="H258" s="214">
        <v>37206027</v>
      </c>
      <c r="I258" s="214">
        <v>38787210</v>
      </c>
      <c r="J258" s="184">
        <v>15212821</v>
      </c>
      <c r="K258" s="184">
        <v>14257566</v>
      </c>
      <c r="L258" s="184">
        <v>51456549</v>
      </c>
      <c r="M258" s="8"/>
      <c r="N258" s="427"/>
      <c r="O258" s="1321"/>
      <c r="P258" s="1322"/>
      <c r="Q258" s="1323"/>
      <c r="R258" s="1319"/>
    </row>
    <row r="259" spans="1:18" ht="18" x14ac:dyDescent="0.2">
      <c r="A259" s="1320"/>
      <c r="B259" s="512" t="s">
        <v>1029</v>
      </c>
      <c r="C259" s="335"/>
      <c r="D259" s="290"/>
      <c r="E259" s="354"/>
      <c r="F259" s="355" t="s">
        <v>482</v>
      </c>
      <c r="G259" s="356" t="s">
        <v>482</v>
      </c>
      <c r="H259" s="356" t="s">
        <v>482</v>
      </c>
      <c r="I259" s="356" t="s">
        <v>482</v>
      </c>
      <c r="J259" s="357" t="s">
        <v>482</v>
      </c>
      <c r="K259" s="357" t="s">
        <v>482</v>
      </c>
      <c r="L259" s="357" t="s">
        <v>482</v>
      </c>
      <c r="M259" s="8"/>
      <c r="N259" s="427"/>
      <c r="O259" s="1321"/>
      <c r="P259" s="1322"/>
      <c r="Q259" s="1323"/>
      <c r="R259" s="1319"/>
    </row>
    <row r="260" spans="1:18" ht="18" x14ac:dyDescent="0.25">
      <c r="A260" s="1320"/>
      <c r="B260" s="513" t="s">
        <v>483</v>
      </c>
      <c r="C260" s="331" t="s">
        <v>40</v>
      </c>
      <c r="D260" s="358"/>
      <c r="E260" s="354"/>
      <c r="F260" s="355" t="s">
        <v>482</v>
      </c>
      <c r="G260" s="356" t="s">
        <v>482</v>
      </c>
      <c r="H260" s="356" t="s">
        <v>482</v>
      </c>
      <c r="I260" s="356" t="s">
        <v>482</v>
      </c>
      <c r="J260" s="357" t="s">
        <v>482</v>
      </c>
      <c r="K260" s="357" t="s">
        <v>482</v>
      </c>
      <c r="L260" s="357" t="s">
        <v>482</v>
      </c>
      <c r="M260" s="8"/>
      <c r="N260" s="1330"/>
      <c r="O260" s="1327"/>
      <c r="P260" s="1322"/>
      <c r="Q260" s="1323"/>
      <c r="R260" s="1319"/>
    </row>
    <row r="261" spans="1:18" ht="18" x14ac:dyDescent="0.25">
      <c r="A261" s="1320"/>
      <c r="B261" s="506" t="s">
        <v>484</v>
      </c>
      <c r="C261" s="331"/>
      <c r="D261" s="358"/>
      <c r="E261" s="354"/>
      <c r="F261" s="355" t="s">
        <v>482</v>
      </c>
      <c r="G261" s="356" t="s">
        <v>482</v>
      </c>
      <c r="H261" s="356" t="s">
        <v>482</v>
      </c>
      <c r="I261" s="356" t="s">
        <v>482</v>
      </c>
      <c r="J261" s="357" t="s">
        <v>482</v>
      </c>
      <c r="K261" s="357" t="s">
        <v>482</v>
      </c>
      <c r="L261" s="357" t="s">
        <v>482</v>
      </c>
      <c r="M261" s="8"/>
      <c r="N261" s="1330"/>
      <c r="O261" s="1327"/>
      <c r="P261" s="1322"/>
      <c r="Q261" s="1323"/>
      <c r="R261" s="1319"/>
    </row>
    <row r="262" spans="1:18" ht="18" x14ac:dyDescent="0.25">
      <c r="A262" s="1320"/>
      <c r="B262" s="506" t="s">
        <v>535</v>
      </c>
      <c r="C262" s="345"/>
      <c r="D262" s="290"/>
      <c r="E262" s="354"/>
      <c r="F262" s="243">
        <v>22439787</v>
      </c>
      <c r="G262" s="214">
        <v>16742412</v>
      </c>
      <c r="H262" s="356" t="s">
        <v>446</v>
      </c>
      <c r="I262" s="214">
        <v>14433835</v>
      </c>
      <c r="J262" s="184">
        <v>4906344</v>
      </c>
      <c r="K262" s="184">
        <v>4563866</v>
      </c>
      <c r="L262" s="184">
        <v>20159180</v>
      </c>
      <c r="M262" s="8"/>
      <c r="N262" s="1330"/>
      <c r="O262" s="1327"/>
      <c r="P262" s="1322"/>
      <c r="Q262" s="1323"/>
      <c r="R262" s="1319"/>
    </row>
    <row r="263" spans="1:18" ht="18" x14ac:dyDescent="0.25">
      <c r="A263" s="1320"/>
      <c r="B263" s="514" t="s">
        <v>1139</v>
      </c>
      <c r="C263" s="359"/>
      <c r="D263" s="360"/>
      <c r="E263" s="354"/>
      <c r="F263" s="1590" t="s">
        <v>482</v>
      </c>
      <c r="G263" s="1590" t="s">
        <v>482</v>
      </c>
      <c r="H263" s="1590" t="s">
        <v>482</v>
      </c>
      <c r="I263" s="1590" t="s">
        <v>482</v>
      </c>
      <c r="J263" s="1590" t="s">
        <v>482</v>
      </c>
      <c r="K263" s="1590" t="s">
        <v>482</v>
      </c>
      <c r="L263" s="249" t="s">
        <v>482</v>
      </c>
      <c r="M263" s="8"/>
      <c r="N263" s="1330"/>
      <c r="O263" s="1327"/>
      <c r="P263" s="1322"/>
      <c r="Q263" s="1323"/>
      <c r="R263" s="1319"/>
    </row>
    <row r="264" spans="1:18" ht="18" x14ac:dyDescent="0.25">
      <c r="A264" s="1320"/>
      <c r="B264" s="515" t="s">
        <v>532</v>
      </c>
      <c r="C264" s="190" t="s">
        <v>40</v>
      </c>
      <c r="D264" s="358"/>
      <c r="E264" s="354"/>
      <c r="F264" s="355" t="s">
        <v>482</v>
      </c>
      <c r="G264" s="356" t="s">
        <v>482</v>
      </c>
      <c r="H264" s="356" t="s">
        <v>482</v>
      </c>
      <c r="I264" s="356" t="s">
        <v>482</v>
      </c>
      <c r="J264" s="357" t="s">
        <v>482</v>
      </c>
      <c r="K264" s="357" t="s">
        <v>482</v>
      </c>
      <c r="L264" s="357" t="s">
        <v>482</v>
      </c>
      <c r="M264" s="8"/>
      <c r="N264" s="1330"/>
      <c r="O264" s="1327"/>
      <c r="P264" s="1322"/>
      <c r="Q264" s="1323"/>
      <c r="R264" s="1319"/>
    </row>
    <row r="265" spans="1:18" ht="18" x14ac:dyDescent="0.25">
      <c r="A265" s="1320"/>
      <c r="B265" s="1544" t="s">
        <v>531</v>
      </c>
      <c r="C265" s="201" t="s">
        <v>40</v>
      </c>
      <c r="D265" s="361"/>
      <c r="E265" s="354"/>
      <c r="F265" s="355" t="s">
        <v>482</v>
      </c>
      <c r="G265" s="356" t="s">
        <v>482</v>
      </c>
      <c r="H265" s="356" t="s">
        <v>482</v>
      </c>
      <c r="I265" s="356" t="s">
        <v>482</v>
      </c>
      <c r="J265" s="357" t="s">
        <v>482</v>
      </c>
      <c r="K265" s="357" t="s">
        <v>482</v>
      </c>
      <c r="L265" s="357" t="s">
        <v>482</v>
      </c>
      <c r="M265" s="8"/>
      <c r="N265" s="1330"/>
      <c r="O265" s="1327"/>
      <c r="P265" s="1322"/>
      <c r="Q265" s="1323"/>
      <c r="R265" s="1319"/>
    </row>
    <row r="266" spans="1:18" ht="18" x14ac:dyDescent="0.25">
      <c r="A266" s="1320"/>
      <c r="B266" s="515" t="s">
        <v>1028</v>
      </c>
      <c r="C266" s="331" t="s">
        <v>40</v>
      </c>
      <c r="D266" s="358"/>
      <c r="E266" s="354"/>
      <c r="F266" s="355" t="s">
        <v>482</v>
      </c>
      <c r="G266" s="356" t="s">
        <v>482</v>
      </c>
      <c r="H266" s="356" t="s">
        <v>482</v>
      </c>
      <c r="I266" s="356" t="s">
        <v>482</v>
      </c>
      <c r="J266" s="357" t="s">
        <v>482</v>
      </c>
      <c r="K266" s="357" t="s">
        <v>482</v>
      </c>
      <c r="L266" s="357" t="s">
        <v>482</v>
      </c>
      <c r="M266" s="8"/>
      <c r="N266" s="1330"/>
      <c r="O266" s="1327"/>
      <c r="P266" s="1322"/>
      <c r="Q266" s="1323"/>
      <c r="R266" s="1319"/>
    </row>
    <row r="267" spans="1:18" ht="18" x14ac:dyDescent="0.25">
      <c r="A267" s="1320"/>
      <c r="B267" s="1583" t="s">
        <v>1185</v>
      </c>
      <c r="C267" s="331"/>
      <c r="D267" s="358"/>
      <c r="E267" s="354"/>
      <c r="F267" s="355" t="s">
        <v>446</v>
      </c>
      <c r="G267" s="356" t="s">
        <v>446</v>
      </c>
      <c r="H267" s="356" t="s">
        <v>446</v>
      </c>
      <c r="I267" s="356" t="s">
        <v>446</v>
      </c>
      <c r="J267" s="357" t="s">
        <v>446</v>
      </c>
      <c r="K267" s="357" t="s">
        <v>446</v>
      </c>
      <c r="L267" s="357" t="s">
        <v>446</v>
      </c>
      <c r="M267" s="8"/>
      <c r="N267" s="1330"/>
      <c r="O267" s="1327"/>
      <c r="P267" s="1322"/>
      <c r="Q267" s="1323"/>
      <c r="R267" s="1319"/>
    </row>
    <row r="268" spans="1:18" ht="18" x14ac:dyDescent="0.25">
      <c r="A268" s="1320"/>
      <c r="B268" s="515" t="s">
        <v>1745</v>
      </c>
      <c r="C268" s="341" t="s">
        <v>40</v>
      </c>
      <c r="D268" s="358"/>
      <c r="E268" s="354"/>
      <c r="F268" s="355" t="s">
        <v>482</v>
      </c>
      <c r="G268" s="356" t="s">
        <v>482</v>
      </c>
      <c r="H268" s="356" t="s">
        <v>482</v>
      </c>
      <c r="I268" s="356" t="s">
        <v>482</v>
      </c>
      <c r="J268" s="357" t="s">
        <v>482</v>
      </c>
      <c r="K268" s="357" t="s">
        <v>482</v>
      </c>
      <c r="L268" s="357" t="s">
        <v>482</v>
      </c>
      <c r="M268" s="8"/>
      <c r="N268" s="1330"/>
      <c r="O268" s="1327"/>
      <c r="P268" s="1322"/>
      <c r="Q268" s="1323"/>
      <c r="R268" s="1319"/>
    </row>
    <row r="269" spans="1:18" ht="18" x14ac:dyDescent="0.25">
      <c r="A269" s="1320"/>
      <c r="B269" s="1585" t="s">
        <v>1049</v>
      </c>
      <c r="C269" s="201"/>
      <c r="D269" s="358"/>
      <c r="E269" s="354"/>
      <c r="F269" s="355" t="s">
        <v>1047</v>
      </c>
      <c r="G269" s="356" t="s">
        <v>1047</v>
      </c>
      <c r="H269" s="356" t="s">
        <v>1047</v>
      </c>
      <c r="I269" s="356" t="s">
        <v>1047</v>
      </c>
      <c r="J269" s="357" t="s">
        <v>1047</v>
      </c>
      <c r="K269" s="357" t="s">
        <v>1047</v>
      </c>
      <c r="L269" s="357" t="s">
        <v>1047</v>
      </c>
      <c r="M269" s="8"/>
      <c r="N269" s="1330"/>
      <c r="O269" s="1327"/>
      <c r="P269" s="1322"/>
      <c r="Q269" s="1323"/>
      <c r="R269" s="1319"/>
    </row>
    <row r="270" spans="1:18" ht="18" x14ac:dyDescent="0.25">
      <c r="A270" s="1320"/>
      <c r="B270" s="500" t="s">
        <v>1737</v>
      </c>
      <c r="C270" s="201"/>
      <c r="D270" s="360"/>
      <c r="E270" s="354"/>
      <c r="F270" s="355" t="s">
        <v>482</v>
      </c>
      <c r="G270" s="356" t="s">
        <v>482</v>
      </c>
      <c r="H270" s="356" t="s">
        <v>482</v>
      </c>
      <c r="I270" s="356" t="s">
        <v>482</v>
      </c>
      <c r="J270" s="357" t="s">
        <v>482</v>
      </c>
      <c r="K270" s="357" t="s">
        <v>482</v>
      </c>
      <c r="L270" s="357" t="s">
        <v>482</v>
      </c>
      <c r="M270" s="8"/>
      <c r="N270" s="1330"/>
      <c r="O270" s="1327"/>
      <c r="P270" s="1322"/>
      <c r="Q270" s="1323"/>
      <c r="R270" s="1319"/>
    </row>
    <row r="271" spans="1:18" ht="18" x14ac:dyDescent="0.25">
      <c r="A271" s="1320"/>
      <c r="B271" s="494" t="s">
        <v>1738</v>
      </c>
      <c r="C271" s="405"/>
      <c r="D271" s="362"/>
      <c r="E271" s="354"/>
      <c r="F271" s="243">
        <v>20346748</v>
      </c>
      <c r="G271" s="356" t="s">
        <v>482</v>
      </c>
      <c r="H271" s="356" t="s">
        <v>482</v>
      </c>
      <c r="I271" s="214">
        <v>11412381</v>
      </c>
      <c r="J271" s="357" t="s">
        <v>482</v>
      </c>
      <c r="K271" s="357" t="s">
        <v>482</v>
      </c>
      <c r="L271" s="357" t="s">
        <v>482</v>
      </c>
      <c r="M271" s="8"/>
      <c r="N271" s="1330"/>
      <c r="O271" s="1327"/>
      <c r="P271" s="1322"/>
      <c r="Q271" s="1323"/>
      <c r="R271" s="1319"/>
    </row>
    <row r="272" spans="1:18" ht="18" x14ac:dyDescent="0.25">
      <c r="A272" s="1320"/>
      <c r="B272" s="1589" t="s">
        <v>1046</v>
      </c>
      <c r="C272" s="201"/>
      <c r="D272" s="363"/>
      <c r="E272" s="354"/>
      <c r="F272" s="355" t="s">
        <v>1047</v>
      </c>
      <c r="G272" s="356" t="s">
        <v>1047</v>
      </c>
      <c r="H272" s="356" t="s">
        <v>1047</v>
      </c>
      <c r="I272" s="356" t="s">
        <v>1047</v>
      </c>
      <c r="J272" s="357" t="s">
        <v>1047</v>
      </c>
      <c r="K272" s="357" t="s">
        <v>1047</v>
      </c>
      <c r="L272" s="357" t="s">
        <v>1047</v>
      </c>
      <c r="M272" s="8"/>
      <c r="N272" s="1330"/>
      <c r="O272" s="1327"/>
      <c r="P272" s="1322"/>
      <c r="Q272" s="1323"/>
      <c r="R272" s="1319"/>
    </row>
    <row r="273" spans="1:18" ht="18" x14ac:dyDescent="0.25">
      <c r="A273" s="1320"/>
      <c r="B273" s="504" t="s">
        <v>1739</v>
      </c>
      <c r="C273" s="335" t="s">
        <v>40</v>
      </c>
      <c r="D273" s="364"/>
      <c r="E273" s="365"/>
      <c r="F273" s="355" t="s">
        <v>482</v>
      </c>
      <c r="G273" s="356" t="s">
        <v>482</v>
      </c>
      <c r="H273" s="356" t="s">
        <v>482</v>
      </c>
      <c r="I273" s="356" t="s">
        <v>482</v>
      </c>
      <c r="J273" s="357" t="s">
        <v>482</v>
      </c>
      <c r="K273" s="357" t="s">
        <v>482</v>
      </c>
      <c r="L273" s="357" t="s">
        <v>482</v>
      </c>
      <c r="M273" s="8"/>
      <c r="N273" s="1330"/>
      <c r="O273" s="1327"/>
      <c r="P273" s="1322"/>
      <c r="Q273" s="1323"/>
      <c r="R273" s="1319"/>
    </row>
    <row r="274" spans="1:18" ht="18" x14ac:dyDescent="0.25">
      <c r="A274" s="1320"/>
      <c r="B274" s="449"/>
      <c r="C274" s="575"/>
      <c r="D274" s="1629"/>
      <c r="E274" s="3155"/>
      <c r="F274" s="229"/>
      <c r="G274" s="229"/>
      <c r="H274" s="229"/>
      <c r="I274" s="229"/>
      <c r="J274" s="229"/>
      <c r="K274" s="229"/>
      <c r="L274" s="229"/>
      <c r="M274" s="8"/>
      <c r="N274" s="1330"/>
      <c r="O274" s="1327"/>
      <c r="P274" s="1322"/>
      <c r="Q274" s="1323"/>
      <c r="R274" s="1319"/>
    </row>
    <row r="275" spans="1:18" ht="18" x14ac:dyDescent="0.2">
      <c r="A275" s="1320"/>
      <c r="B275" s="140" t="s">
        <v>2744</v>
      </c>
      <c r="C275" s="227"/>
      <c r="D275" s="227"/>
      <c r="E275" s="227"/>
      <c r="F275" s="228"/>
      <c r="G275" s="228"/>
      <c r="H275" s="228"/>
      <c r="I275" s="229"/>
      <c r="J275" s="229"/>
      <c r="K275" s="229"/>
      <c r="L275" s="229"/>
      <c r="M275" s="8"/>
      <c r="N275" s="427"/>
      <c r="O275" s="1321"/>
      <c r="P275" s="1322"/>
      <c r="Q275" s="1323"/>
      <c r="R275" s="1319"/>
    </row>
    <row r="276" spans="1:18" ht="18" x14ac:dyDescent="0.2">
      <c r="A276" s="1320"/>
      <c r="B276" s="140" t="s">
        <v>2745</v>
      </c>
      <c r="C276" s="227"/>
      <c r="D276" s="227"/>
      <c r="E276" s="227"/>
      <c r="F276" s="228"/>
      <c r="G276" s="228"/>
      <c r="H276" s="228"/>
      <c r="I276" s="229"/>
      <c r="J276" s="229"/>
      <c r="K276" s="229"/>
      <c r="L276" s="229"/>
      <c r="M276" s="1312"/>
      <c r="N276" s="427"/>
      <c r="O276" s="1321"/>
      <c r="P276" s="1322"/>
      <c r="Q276" s="1335"/>
      <c r="R276" s="1336"/>
    </row>
    <row r="277" spans="1:18" ht="18" x14ac:dyDescent="0.2">
      <c r="A277" s="1320"/>
      <c r="B277" s="142" t="s">
        <v>2749</v>
      </c>
      <c r="C277" s="227"/>
      <c r="D277" s="227"/>
      <c r="E277" s="227"/>
      <c r="F277" s="228"/>
      <c r="G277" s="228"/>
      <c r="H277" s="228"/>
      <c r="I277" s="229"/>
      <c r="J277" s="229"/>
      <c r="K277" s="229"/>
      <c r="L277" s="229"/>
      <c r="M277" s="1312"/>
      <c r="N277" s="427"/>
      <c r="O277" s="1321"/>
      <c r="P277" s="1322"/>
      <c r="Q277" s="1335"/>
      <c r="R277" s="1336"/>
    </row>
    <row r="278" spans="1:18" ht="18" x14ac:dyDescent="0.2">
      <c r="A278" s="1320"/>
      <c r="B278" s="140" t="s">
        <v>2750</v>
      </c>
      <c r="C278" s="227"/>
      <c r="D278" s="227"/>
      <c r="E278" s="227"/>
      <c r="F278" s="228"/>
      <c r="G278" s="228"/>
      <c r="H278" s="228"/>
      <c r="I278" s="229"/>
      <c r="J278" s="229"/>
      <c r="K278" s="229"/>
      <c r="L278" s="229"/>
      <c r="M278" s="1312"/>
      <c r="N278" s="427"/>
      <c r="O278" s="1321"/>
      <c r="P278" s="1322"/>
      <c r="Q278" s="1335"/>
      <c r="R278" s="1336"/>
    </row>
    <row r="279" spans="1:18" ht="18" x14ac:dyDescent="0.2">
      <c r="M279" s="1312"/>
      <c r="N279" s="427"/>
      <c r="O279" s="1321"/>
      <c r="P279" s="1322"/>
      <c r="Q279" s="1335"/>
      <c r="R279" s="1336"/>
    </row>
    <row r="280" spans="1:18" ht="18" customHeight="1" x14ac:dyDescent="0.2"/>
    <row r="281" spans="1:18" ht="15.75" x14ac:dyDescent="0.2">
      <c r="B281" s="367" t="s">
        <v>2525</v>
      </c>
      <c r="C281" s="282"/>
      <c r="D281" s="4996" t="s">
        <v>1320</v>
      </c>
      <c r="E281" s="4991" t="s">
        <v>1603</v>
      </c>
      <c r="F281" s="1619" t="s">
        <v>1027</v>
      </c>
      <c r="G281" s="1619" t="s">
        <v>1027</v>
      </c>
      <c r="H281" s="1619" t="s">
        <v>1027</v>
      </c>
      <c r="I281" s="1619" t="s">
        <v>1027</v>
      </c>
      <c r="J281" s="1620" t="s">
        <v>1014</v>
      </c>
      <c r="K281" s="368"/>
      <c r="L281" s="35"/>
    </row>
    <row r="282" spans="1:18" ht="22.5" customHeight="1" x14ac:dyDescent="0.2">
      <c r="B282" s="1591" t="s">
        <v>2524</v>
      </c>
      <c r="C282" s="148"/>
      <c r="D282" s="4997"/>
      <c r="E282" s="4992"/>
      <c r="F282" s="1614" t="s">
        <v>1752</v>
      </c>
      <c r="G282" s="1610" t="s">
        <v>1032</v>
      </c>
      <c r="H282" s="1610" t="s">
        <v>1033</v>
      </c>
      <c r="I282" s="1610" t="s">
        <v>1034</v>
      </c>
      <c r="J282" s="1615" t="s">
        <v>1022</v>
      </c>
      <c r="K282" s="369"/>
      <c r="L282" s="370"/>
    </row>
    <row r="283" spans="1:18" ht="38.25" customHeight="1" x14ac:dyDescent="0.2">
      <c r="B283" s="1546" t="s">
        <v>1876</v>
      </c>
      <c r="C283" s="148"/>
      <c r="D283" s="4997"/>
      <c r="E283" s="4992"/>
      <c r="F283" s="1617" t="s">
        <v>1951</v>
      </c>
      <c r="G283" s="1618" t="s">
        <v>1951</v>
      </c>
      <c r="H283" s="1616" t="s">
        <v>1951</v>
      </c>
      <c r="I283" s="1616" t="s">
        <v>1951</v>
      </c>
      <c r="J283" s="150" t="s">
        <v>1951</v>
      </c>
      <c r="K283" s="371"/>
      <c r="L283" s="372"/>
    </row>
    <row r="284" spans="1:18" ht="15.75" x14ac:dyDescent="0.2">
      <c r="B284" s="1547" t="s">
        <v>1877</v>
      </c>
      <c r="C284" s="234"/>
      <c r="D284" s="4997"/>
      <c r="E284" s="4992"/>
      <c r="F284" s="374" t="s">
        <v>1031</v>
      </c>
      <c r="G284" s="374" t="s">
        <v>1021</v>
      </c>
      <c r="H284" s="374" t="s">
        <v>1021</v>
      </c>
      <c r="I284" s="374" t="s">
        <v>1021</v>
      </c>
      <c r="J284" s="375" t="s">
        <v>1021</v>
      </c>
      <c r="K284" s="376"/>
      <c r="L284" s="377"/>
    </row>
    <row r="285" spans="1:18" ht="15" hidden="1" customHeight="1" x14ac:dyDescent="0.2">
      <c r="B285" s="373"/>
      <c r="C285" s="148"/>
      <c r="D285" s="4998"/>
      <c r="E285" s="4993"/>
      <c r="F285" s="156">
        <f>MIN(F286:F437)</f>
        <v>1473024</v>
      </c>
      <c r="G285" s="156">
        <f>MIN(G286:G437)</f>
        <v>201228</v>
      </c>
      <c r="H285" s="156">
        <f>MIN(H286:H437)</f>
        <v>375610</v>
      </c>
      <c r="I285" s="156">
        <f>MIN(I286:I437)</f>
        <v>325188</v>
      </c>
      <c r="J285" s="156">
        <f>MIN(J286:J437)</f>
        <v>1532465</v>
      </c>
      <c r="K285" s="378"/>
      <c r="L285" s="379"/>
    </row>
    <row r="286" spans="1:18" ht="18" customHeight="1" x14ac:dyDescent="0.2">
      <c r="B286" s="157" t="s">
        <v>983</v>
      </c>
      <c r="C286" s="158"/>
      <c r="D286" s="290">
        <f t="shared" ref="D286:D320" si="13">SUM(F286/F$285,G286/G$285,H286/H$285,I286/I$285,J286/J$285)/5*100</f>
        <v>336.20682840510955</v>
      </c>
      <c r="E286" s="380"/>
      <c r="F286" s="237">
        <v>5463062</v>
      </c>
      <c r="G286" s="162">
        <v>1048593</v>
      </c>
      <c r="H286" s="161">
        <v>1048593</v>
      </c>
      <c r="I286" s="293">
        <v>672143</v>
      </c>
      <c r="J286" s="381">
        <v>4646417</v>
      </c>
      <c r="K286" s="382"/>
      <c r="L286" s="383"/>
    </row>
    <row r="287" spans="1:18" ht="18" customHeight="1" x14ac:dyDescent="0.2">
      <c r="B287" s="2496" t="s">
        <v>2783</v>
      </c>
      <c r="C287" s="3105"/>
      <c r="D287" s="290">
        <f t="shared" ref="D287:D300" si="14">SUM(F287/F$285,G287/G$285,H287/H$285,I287/I$285,J287/J$285)/5*100</f>
        <v>100.50269064539617</v>
      </c>
      <c r="E287" s="204">
        <f>153.6+29.8+30+20.3+134.1</f>
        <v>367.8</v>
      </c>
      <c r="F287" s="165">
        <v>1481721</v>
      </c>
      <c r="G287" s="166">
        <v>202359</v>
      </c>
      <c r="H287" s="166">
        <v>380722</v>
      </c>
      <c r="I287" s="166">
        <v>325188</v>
      </c>
      <c r="J287" s="384">
        <v>1532465</v>
      </c>
      <c r="K287" s="385"/>
      <c r="L287" s="177"/>
    </row>
    <row r="288" spans="1:18" ht="18" customHeight="1" x14ac:dyDescent="0.2">
      <c r="B288" s="3286" t="s">
        <v>2561</v>
      </c>
      <c r="C288" s="3028"/>
      <c r="D288" s="290">
        <f t="shared" ref="D288:D296" si="15">SUM(F288/F$285,G288/G$285,H288/H$285,I288/I$285,J288/J$285)/5*100</f>
        <v>100.93259301825674</v>
      </c>
      <c r="E288" s="312">
        <f>143.1+28.1+26.4+17.8+116.3</f>
        <v>331.7</v>
      </c>
      <c r="F288" s="177">
        <v>1495050</v>
      </c>
      <c r="G288" s="395">
        <v>202919</v>
      </c>
      <c r="H288" s="395">
        <v>381728</v>
      </c>
      <c r="I288" s="395">
        <v>325795</v>
      </c>
      <c r="J288" s="1436">
        <v>1540309</v>
      </c>
      <c r="K288" s="1436"/>
      <c r="L288" s="177"/>
    </row>
    <row r="289" spans="2:12" ht="18" customHeight="1" x14ac:dyDescent="0.2">
      <c r="B289" s="4716" t="s">
        <v>2621</v>
      </c>
      <c r="C289" s="2414"/>
      <c r="D289" s="290">
        <f t="shared" si="15"/>
        <v>100.93259301825674</v>
      </c>
      <c r="E289" s="312">
        <f>174.9+40.9+ 35.1+146.7</f>
        <v>397.6</v>
      </c>
      <c r="F289" s="4584">
        <v>1495050</v>
      </c>
      <c r="G289" s="4584">
        <v>202919</v>
      </c>
      <c r="H289" s="4584">
        <v>381728</v>
      </c>
      <c r="I289" s="4584">
        <v>325795</v>
      </c>
      <c r="J289" s="4585">
        <v>1540309</v>
      </c>
      <c r="K289" s="1436"/>
      <c r="L289" s="177"/>
    </row>
    <row r="290" spans="2:12" ht="18" customHeight="1" x14ac:dyDescent="0.2">
      <c r="B290" s="4927" t="s">
        <v>2562</v>
      </c>
      <c r="C290" s="2414"/>
      <c r="D290" s="290">
        <f t="shared" si="15"/>
        <v>101.34331162143113</v>
      </c>
      <c r="E290" s="312">
        <f>134.5+25.5+25.2+17.4+124.3</f>
        <v>326.89999999999998</v>
      </c>
      <c r="F290" s="177">
        <v>1500787</v>
      </c>
      <c r="G290" s="395">
        <v>203837</v>
      </c>
      <c r="H290" s="395">
        <v>383258</v>
      </c>
      <c r="I290" s="395">
        <v>326958</v>
      </c>
      <c r="J290" s="1436">
        <v>1547097</v>
      </c>
      <c r="K290" s="1436"/>
      <c r="L290" s="177"/>
    </row>
    <row r="291" spans="2:12" ht="18" customHeight="1" x14ac:dyDescent="0.2">
      <c r="B291" s="4928" t="s">
        <v>532</v>
      </c>
      <c r="C291" s="2320" t="s">
        <v>40</v>
      </c>
      <c r="D291" s="290">
        <f t="shared" si="15"/>
        <v>101.45256997799481</v>
      </c>
      <c r="E291" s="204">
        <f>3353.6+684.54+677.99+416.82+3001.57</f>
        <v>8134.52</v>
      </c>
      <c r="F291" s="1833">
        <v>1473024</v>
      </c>
      <c r="G291" s="1833">
        <v>201228</v>
      </c>
      <c r="H291" s="1833">
        <v>375610</v>
      </c>
      <c r="I291" s="1833">
        <v>342775</v>
      </c>
      <c r="J291" s="1720">
        <v>1560886</v>
      </c>
      <c r="K291" s="2166"/>
      <c r="L291" s="177"/>
    </row>
    <row r="292" spans="2:12" ht="18" customHeight="1" x14ac:dyDescent="0.2">
      <c r="B292" s="4929" t="s">
        <v>2784</v>
      </c>
      <c r="C292" s="4930" t="s">
        <v>40</v>
      </c>
      <c r="D292" s="290">
        <f t="shared" si="15"/>
        <v>103.1464880017711</v>
      </c>
      <c r="E292" s="312">
        <f>101.31+20.45+20.47+15.04+90.34</f>
        <v>247.61</v>
      </c>
      <c r="F292" s="1812">
        <v>1532729</v>
      </c>
      <c r="G292" s="1812">
        <v>208936</v>
      </c>
      <c r="H292" s="1812">
        <v>392682</v>
      </c>
      <c r="I292" s="1812">
        <v>328662</v>
      </c>
      <c r="J292" s="392">
        <v>1566720</v>
      </c>
      <c r="K292" s="2166"/>
      <c r="L292" s="177"/>
    </row>
    <row r="293" spans="2:12" ht="18" customHeight="1" x14ac:dyDescent="0.2">
      <c r="B293" s="2405" t="s">
        <v>1971</v>
      </c>
      <c r="C293" s="1884"/>
      <c r="D293" s="290">
        <f t="shared" si="15"/>
        <v>103.27995445025415</v>
      </c>
      <c r="E293" s="312">
        <f>5.432+1.334+1.919+1.542+5.862</f>
        <v>16.088999999999999</v>
      </c>
      <c r="F293" s="1812">
        <v>1536232</v>
      </c>
      <c r="G293" s="1812">
        <v>205036</v>
      </c>
      <c r="H293" s="1812">
        <v>385972</v>
      </c>
      <c r="I293" s="1812">
        <v>343032</v>
      </c>
      <c r="J293" s="392">
        <v>1562660</v>
      </c>
      <c r="K293" s="2166"/>
      <c r="L293" s="177"/>
    </row>
    <row r="294" spans="2:12" ht="18" customHeight="1" x14ac:dyDescent="0.2">
      <c r="B294" s="4748" t="s">
        <v>2800</v>
      </c>
      <c r="C294" s="2414" t="s">
        <v>40</v>
      </c>
      <c r="D294" s="290">
        <f t="shared" si="15"/>
        <v>103.39893325614963</v>
      </c>
      <c r="E294" s="312">
        <f>105.9+23+20.8+15.5+94.4</f>
        <v>259.60000000000002</v>
      </c>
      <c r="F294" s="3179">
        <v>1516711</v>
      </c>
      <c r="G294" s="3179">
        <v>207181</v>
      </c>
      <c r="H294" s="3179">
        <v>392058</v>
      </c>
      <c r="I294" s="3179">
        <v>341653</v>
      </c>
      <c r="J294" s="3180">
        <v>1557418</v>
      </c>
      <c r="K294" s="2166"/>
      <c r="L294" s="177"/>
    </row>
    <row r="295" spans="2:12" ht="18" customHeight="1" x14ac:dyDescent="0.2">
      <c r="B295" s="1408" t="s">
        <v>2555</v>
      </c>
      <c r="C295" s="3121" t="s">
        <v>40</v>
      </c>
      <c r="D295" s="290">
        <f t="shared" si="15"/>
        <v>103.47977031512434</v>
      </c>
      <c r="E295" s="312">
        <f>108.16+18.32+19.29+14.14+103.07</f>
        <v>262.97999999999996</v>
      </c>
      <c r="F295" s="3179">
        <v>1550170</v>
      </c>
      <c r="G295" s="3179">
        <v>209150</v>
      </c>
      <c r="H295" s="3179">
        <v>392645</v>
      </c>
      <c r="I295" s="3179">
        <v>328726</v>
      </c>
      <c r="J295" s="3180">
        <v>1572332</v>
      </c>
      <c r="K295" s="2166"/>
      <c r="L295" s="177"/>
    </row>
    <row r="296" spans="2:12" ht="18" customHeight="1" x14ac:dyDescent="0.25">
      <c r="B296" s="3332" t="s">
        <v>2554</v>
      </c>
      <c r="C296" s="3181" t="s">
        <v>40</v>
      </c>
      <c r="D296" s="290">
        <f t="shared" si="15"/>
        <v>103.48431737353607</v>
      </c>
      <c r="E296" s="312">
        <f>120.77+23.4+21.96+15.08+105.15</f>
        <v>286.36</v>
      </c>
      <c r="F296" s="3179">
        <v>1549139</v>
      </c>
      <c r="G296" s="3179">
        <v>209225</v>
      </c>
      <c r="H296" s="3179">
        <v>392699</v>
      </c>
      <c r="I296" s="3179">
        <v>328832</v>
      </c>
      <c r="J296" s="3180">
        <v>1572462</v>
      </c>
      <c r="K296" s="2166"/>
      <c r="L296" s="177"/>
    </row>
    <row r="297" spans="2:12" ht="18" customHeight="1" x14ac:dyDescent="0.2">
      <c r="B297" s="3038" t="s">
        <v>2560</v>
      </c>
      <c r="C297" s="1835"/>
      <c r="D297" s="290">
        <f t="shared" si="14"/>
        <v>104.9537291093397</v>
      </c>
      <c r="E297" s="312">
        <f>90.1+18+17.9+12.7+79.9</f>
        <v>218.6</v>
      </c>
      <c r="F297" s="1363">
        <v>1530195</v>
      </c>
      <c r="G297" s="1363">
        <v>210949</v>
      </c>
      <c r="H297" s="1363">
        <v>401965</v>
      </c>
      <c r="I297" s="1363">
        <v>341813</v>
      </c>
      <c r="J297" s="392">
        <v>1592654</v>
      </c>
      <c r="K297" s="1436"/>
      <c r="L297" s="177"/>
    </row>
    <row r="298" spans="2:12" ht="18" customHeight="1" x14ac:dyDescent="0.2">
      <c r="B298" s="1688" t="s">
        <v>2470</v>
      </c>
      <c r="C298" s="3097" t="s">
        <v>40</v>
      </c>
      <c r="D298" s="290">
        <f t="shared" si="14"/>
        <v>105.02228856840028</v>
      </c>
      <c r="E298" s="312">
        <f>224.78+36.27+40.35+26.17+190.63</f>
        <v>518.20000000000005</v>
      </c>
      <c r="F298" s="319">
        <v>1583144</v>
      </c>
      <c r="G298" s="319">
        <v>211944</v>
      </c>
      <c r="H298" s="319">
        <v>398314</v>
      </c>
      <c r="I298" s="319">
        <v>330886</v>
      </c>
      <c r="J298" s="3030">
        <v>1601634</v>
      </c>
      <c r="K298" s="1436"/>
      <c r="L298" s="177"/>
    </row>
    <row r="299" spans="2:12" ht="18" customHeight="1" x14ac:dyDescent="0.2">
      <c r="B299" s="2796" t="s">
        <v>2503</v>
      </c>
      <c r="C299" s="3105" t="s">
        <v>40</v>
      </c>
      <c r="D299" s="290">
        <f t="shared" si="14"/>
        <v>105.66104763721799</v>
      </c>
      <c r="E299" s="312">
        <f>182.98+25.87+27.22+18.97+132.89</f>
        <v>387.92999999999995</v>
      </c>
      <c r="F299" s="319">
        <v>1583142</v>
      </c>
      <c r="G299" s="319">
        <v>211944</v>
      </c>
      <c r="H299" s="319">
        <v>398311</v>
      </c>
      <c r="I299" s="319">
        <v>341277</v>
      </c>
      <c r="J299" s="3030">
        <v>1601624</v>
      </c>
      <c r="K299" s="1436"/>
      <c r="L299" s="177"/>
    </row>
    <row r="300" spans="2:12" ht="18" customHeight="1" x14ac:dyDescent="0.2">
      <c r="B300" s="1688" t="s">
        <v>1041</v>
      </c>
      <c r="C300" s="3015" t="s">
        <v>40</v>
      </c>
      <c r="D300" s="290">
        <f t="shared" si="14"/>
        <v>106.07680515218205</v>
      </c>
      <c r="E300" s="391"/>
      <c r="F300" s="319">
        <v>1626883</v>
      </c>
      <c r="G300" s="319">
        <v>205276</v>
      </c>
      <c r="H300" s="319">
        <v>390678</v>
      </c>
      <c r="I300" s="319">
        <v>355153</v>
      </c>
      <c r="J300" s="3030">
        <v>1604506</v>
      </c>
      <c r="K300" s="1436"/>
      <c r="L300" s="177"/>
    </row>
    <row r="301" spans="2:12" ht="18" customHeight="1" x14ac:dyDescent="0.25">
      <c r="B301" s="1408" t="s">
        <v>2469</v>
      </c>
      <c r="C301" s="1634" t="s">
        <v>40</v>
      </c>
      <c r="D301" s="290">
        <f t="shared" si="13"/>
        <v>106.21310952217749</v>
      </c>
      <c r="E301" s="204">
        <f>265.37+37.55+39.57+27.49+187.16</f>
        <v>557.14</v>
      </c>
      <c r="F301" s="177">
        <v>1597741</v>
      </c>
      <c r="G301" s="395">
        <v>211993</v>
      </c>
      <c r="H301" s="395">
        <v>415745</v>
      </c>
      <c r="I301" s="395">
        <v>331133</v>
      </c>
      <c r="J301" s="2166">
        <v>1605038</v>
      </c>
      <c r="K301" s="2166"/>
      <c r="L301" s="177"/>
    </row>
    <row r="302" spans="2:12" ht="18" customHeight="1" x14ac:dyDescent="0.2">
      <c r="B302" s="500" t="s">
        <v>1954</v>
      </c>
      <c r="C302" s="323"/>
      <c r="D302" s="290">
        <f t="shared" si="13"/>
        <v>106.72993483025162</v>
      </c>
      <c r="E302" s="204">
        <f>58.34+9.89+13.05+8.3+55.59</f>
        <v>145.17000000000002</v>
      </c>
      <c r="F302" s="298">
        <v>1587168</v>
      </c>
      <c r="G302" s="386">
        <v>215414</v>
      </c>
      <c r="H302" s="386">
        <v>399992</v>
      </c>
      <c r="I302" s="386">
        <v>350389</v>
      </c>
      <c r="J302" s="300">
        <v>1603112</v>
      </c>
      <c r="K302" s="387"/>
      <c r="L302" s="177"/>
    </row>
    <row r="303" spans="2:12" ht="18" customHeight="1" x14ac:dyDescent="0.2">
      <c r="B303" s="500" t="s">
        <v>1184</v>
      </c>
      <c r="C303" s="301"/>
      <c r="D303" s="290">
        <f t="shared" si="13"/>
        <v>106.85431678089398</v>
      </c>
      <c r="E303" s="389">
        <f>2.958+0.599+0.807+0.664+2.814</f>
        <v>7.8420000000000005</v>
      </c>
      <c r="F303" s="319">
        <v>1582467</v>
      </c>
      <c r="G303" s="319">
        <v>217349</v>
      </c>
      <c r="H303" s="319">
        <v>408049</v>
      </c>
      <c r="I303" s="319">
        <v>348284</v>
      </c>
      <c r="J303" s="176">
        <v>1579845</v>
      </c>
      <c r="K303" s="385"/>
      <c r="L303" s="177"/>
    </row>
    <row r="304" spans="2:12" ht="18" customHeight="1" x14ac:dyDescent="0.2">
      <c r="B304" s="3355" t="s">
        <v>1754</v>
      </c>
      <c r="C304" s="2309"/>
      <c r="D304" s="290">
        <f t="shared" si="13"/>
        <v>106.86266394435519</v>
      </c>
      <c r="E304" s="389">
        <f>1212.8+190+176+133.4+807.9</f>
        <v>2520.1</v>
      </c>
      <c r="F304" s="319">
        <v>1618678</v>
      </c>
      <c r="G304" s="319">
        <v>212772</v>
      </c>
      <c r="H304" s="319">
        <v>401607</v>
      </c>
      <c r="I304" s="319">
        <v>349906</v>
      </c>
      <c r="J304" s="2167">
        <v>1596308</v>
      </c>
      <c r="K304" s="2166"/>
      <c r="L304" s="177"/>
    </row>
    <row r="305" spans="2:12" ht="18" customHeight="1" x14ac:dyDescent="0.2">
      <c r="B305" s="4647" t="s">
        <v>2495</v>
      </c>
      <c r="C305" s="1569" t="s">
        <v>40</v>
      </c>
      <c r="D305" s="290">
        <f t="shared" si="13"/>
        <v>107.45608060419802</v>
      </c>
      <c r="E305" s="389">
        <f>94.64+15.23+16.04+11.54+80.61</f>
        <v>218.06</v>
      </c>
      <c r="F305" s="319">
        <v>1611032</v>
      </c>
      <c r="G305" s="319">
        <v>220143</v>
      </c>
      <c r="H305" s="319">
        <v>405007</v>
      </c>
      <c r="I305" s="319">
        <v>335368</v>
      </c>
      <c r="J305" s="1565">
        <v>1648237</v>
      </c>
      <c r="K305" s="1436"/>
      <c r="L305" s="177"/>
    </row>
    <row r="306" spans="2:12" ht="18" customHeight="1" x14ac:dyDescent="0.2">
      <c r="B306" s="2323" t="s">
        <v>2563</v>
      </c>
      <c r="C306" s="2322"/>
      <c r="D306" s="290">
        <f t="shared" si="13"/>
        <v>107.69190346448241</v>
      </c>
      <c r="E306" s="389">
        <f>80.4+15+15.2+10.7+64.9</f>
        <v>186.20000000000002</v>
      </c>
      <c r="F306" s="319">
        <v>1658286</v>
      </c>
      <c r="G306" s="319">
        <v>214820</v>
      </c>
      <c r="H306" s="319">
        <v>404557</v>
      </c>
      <c r="I306" s="319">
        <v>342443</v>
      </c>
      <c r="J306" s="2167">
        <v>1626178</v>
      </c>
      <c r="K306" s="2166"/>
      <c r="L306" s="177"/>
    </row>
    <row r="307" spans="2:12" ht="18" customHeight="1" x14ac:dyDescent="0.2">
      <c r="B307" s="1589" t="s">
        <v>2564</v>
      </c>
      <c r="C307" s="201"/>
      <c r="D307" s="290">
        <f t="shared" si="13"/>
        <v>107.69305262582594</v>
      </c>
      <c r="E307" s="389">
        <f>87.9+15.3+16.7+11.6+69.4</f>
        <v>200.9</v>
      </c>
      <c r="F307" s="1568">
        <v>1658297</v>
      </c>
      <c r="G307" s="1568">
        <v>214822</v>
      </c>
      <c r="H307" s="1568">
        <v>404560</v>
      </c>
      <c r="I307" s="1568">
        <v>342446</v>
      </c>
      <c r="J307" s="1565">
        <v>1626213</v>
      </c>
      <c r="K307" s="1436"/>
      <c r="L307" s="177"/>
    </row>
    <row r="308" spans="2:12" ht="18" customHeight="1" x14ac:dyDescent="0.2">
      <c r="B308" s="516" t="s">
        <v>2565</v>
      </c>
      <c r="C308" s="1835"/>
      <c r="D308" s="290">
        <f t="shared" si="13"/>
        <v>107.6960273383811</v>
      </c>
      <c r="E308" s="389">
        <f>74.5+13.3+12.5+10.2+64.5</f>
        <v>175</v>
      </c>
      <c r="F308" s="319">
        <v>1658297</v>
      </c>
      <c r="G308" s="319">
        <v>214823</v>
      </c>
      <c r="H308" s="319">
        <v>404614</v>
      </c>
      <c r="I308" s="319">
        <v>342446</v>
      </c>
      <c r="J308" s="1565">
        <v>1626213</v>
      </c>
      <c r="K308" s="1436"/>
      <c r="L308" s="177"/>
    </row>
    <row r="309" spans="2:12" ht="18" customHeight="1" x14ac:dyDescent="0.25">
      <c r="B309" s="1408" t="s">
        <v>2473</v>
      </c>
      <c r="C309" s="1865" t="s">
        <v>40</v>
      </c>
      <c r="D309" s="290">
        <f t="shared" si="13"/>
        <v>108.71062039374341</v>
      </c>
      <c r="E309" s="388"/>
      <c r="F309" s="319">
        <v>1631540</v>
      </c>
      <c r="G309" s="319">
        <v>219475</v>
      </c>
      <c r="H309" s="319">
        <v>418470</v>
      </c>
      <c r="I309" s="319">
        <v>342815</v>
      </c>
      <c r="J309" s="1864">
        <v>1638093</v>
      </c>
      <c r="K309" s="1436"/>
      <c r="L309" s="177"/>
    </row>
    <row r="310" spans="2:12" ht="18" customHeight="1" x14ac:dyDescent="0.2">
      <c r="B310" s="1632" t="s">
        <v>1717</v>
      </c>
      <c r="C310" s="301"/>
      <c r="D310" s="290">
        <f t="shared" si="13"/>
        <v>109.38117397203715</v>
      </c>
      <c r="E310" s="389">
        <f>4.293+0.862+0.971+0.729+3.655</f>
        <v>10.51</v>
      </c>
      <c r="F310" s="1648">
        <v>1621353</v>
      </c>
      <c r="G310" s="1648">
        <v>225941</v>
      </c>
      <c r="H310" s="1648">
        <v>402566</v>
      </c>
      <c r="I310" s="1648">
        <v>355088</v>
      </c>
      <c r="J310" s="1815">
        <v>1657879</v>
      </c>
      <c r="K310" s="1436"/>
      <c r="L310" s="177"/>
    </row>
    <row r="311" spans="2:12" ht="18" customHeight="1" x14ac:dyDescent="0.2">
      <c r="B311" s="497" t="s">
        <v>958</v>
      </c>
      <c r="C311" s="1884"/>
      <c r="D311" s="290">
        <f t="shared" si="13"/>
        <v>109.50287166168815</v>
      </c>
      <c r="E311" s="388"/>
      <c r="F311" s="319">
        <v>1716600</v>
      </c>
      <c r="G311" s="319">
        <v>220423</v>
      </c>
      <c r="H311" s="319">
        <v>402323</v>
      </c>
      <c r="I311" s="319">
        <v>352011</v>
      </c>
      <c r="J311" s="1815">
        <v>1625628</v>
      </c>
      <c r="K311" s="1436"/>
      <c r="L311" s="177"/>
    </row>
    <row r="312" spans="2:12" ht="18" customHeight="1" x14ac:dyDescent="0.2">
      <c r="B312" s="3356" t="s">
        <v>2566</v>
      </c>
      <c r="C312" s="339"/>
      <c r="D312" s="290">
        <f t="shared" si="13"/>
        <v>109.82970968009344</v>
      </c>
      <c r="E312" s="389">
        <f>63.8+11.4+11.6+7.9+52.7</f>
        <v>147.4</v>
      </c>
      <c r="F312" s="319">
        <v>1688201</v>
      </c>
      <c r="G312" s="319">
        <v>215565</v>
      </c>
      <c r="H312" s="319">
        <v>423439</v>
      </c>
      <c r="I312" s="319">
        <v>344438</v>
      </c>
      <c r="J312" s="176">
        <v>1666749</v>
      </c>
      <c r="K312" s="385"/>
      <c r="L312" s="177"/>
    </row>
    <row r="313" spans="2:12" ht="18" customHeight="1" x14ac:dyDescent="0.25">
      <c r="B313" s="1408" t="s">
        <v>1713</v>
      </c>
      <c r="C313" s="1696" t="s">
        <v>40</v>
      </c>
      <c r="D313" s="290">
        <f t="shared" si="13"/>
        <v>110.27834078719556</v>
      </c>
      <c r="E313" s="389">
        <f>84.393+14.258+15.034+10.245+72.97</f>
        <v>196.9</v>
      </c>
      <c r="F313" s="1638">
        <v>1662311</v>
      </c>
      <c r="G313" s="1638">
        <v>224084</v>
      </c>
      <c r="H313" s="1638">
        <v>422524</v>
      </c>
      <c r="I313" s="1638">
        <v>345988</v>
      </c>
      <c r="J313" s="1639">
        <v>1659611</v>
      </c>
      <c r="K313" s="1436"/>
      <c r="L313" s="177"/>
    </row>
    <row r="314" spans="2:12" ht="18" customHeight="1" x14ac:dyDescent="0.2">
      <c r="B314" s="3114" t="s">
        <v>2250</v>
      </c>
      <c r="C314" s="359" t="s">
        <v>40</v>
      </c>
      <c r="D314" s="290">
        <f t="shared" si="13"/>
        <v>112.99380338396958</v>
      </c>
      <c r="E314" s="389">
        <f>12.9+2+2.2+1.55+10.7</f>
        <v>29.35</v>
      </c>
      <c r="F314" s="319">
        <v>1736620</v>
      </c>
      <c r="G314" s="319">
        <v>224583</v>
      </c>
      <c r="H314" s="319">
        <v>428496</v>
      </c>
      <c r="I314" s="319">
        <v>350683</v>
      </c>
      <c r="J314" s="390">
        <v>1740080</v>
      </c>
      <c r="K314" s="387"/>
      <c r="L314" s="177"/>
    </row>
    <row r="315" spans="2:12" ht="18" customHeight="1" x14ac:dyDescent="0.2">
      <c r="B315" s="500" t="s">
        <v>1965</v>
      </c>
      <c r="C315" s="1569" t="s">
        <v>40</v>
      </c>
      <c r="D315" s="290">
        <f t="shared" si="13"/>
        <v>113.94828066228683</v>
      </c>
      <c r="E315" s="389">
        <f>25.37+3.59+5.16+3.67+22.46</f>
        <v>60.250000000000007</v>
      </c>
      <c r="F315" s="319">
        <v>1692930</v>
      </c>
      <c r="G315" s="319">
        <v>230279</v>
      </c>
      <c r="H315" s="319">
        <v>439854</v>
      </c>
      <c r="I315" s="319">
        <v>359909</v>
      </c>
      <c r="J315" s="1550">
        <v>1725472</v>
      </c>
      <c r="K315" s="1436"/>
      <c r="L315" s="177"/>
    </row>
    <row r="316" spans="2:12" ht="18" customHeight="1" x14ac:dyDescent="0.2">
      <c r="B316" s="1582" t="s">
        <v>1053</v>
      </c>
      <c r="C316" s="1569" t="s">
        <v>40</v>
      </c>
      <c r="D316" s="290">
        <f t="shared" si="13"/>
        <v>114.02471099127354</v>
      </c>
      <c r="E316" s="388"/>
      <c r="F316" s="319">
        <v>1732511</v>
      </c>
      <c r="G316" s="319">
        <v>238484</v>
      </c>
      <c r="H316" s="319">
        <v>433526</v>
      </c>
      <c r="I316" s="319">
        <v>346177</v>
      </c>
      <c r="J316" s="1550">
        <v>1718195</v>
      </c>
      <c r="K316" s="1436"/>
      <c r="L316" s="177"/>
    </row>
    <row r="317" spans="2:12" ht="18" customHeight="1" x14ac:dyDescent="0.2">
      <c r="B317" s="1408" t="s">
        <v>2063</v>
      </c>
      <c r="C317" s="1569" t="s">
        <v>40</v>
      </c>
      <c r="D317" s="290">
        <f t="shared" si="13"/>
        <v>114.02895906653812</v>
      </c>
      <c r="E317" s="389">
        <f>15.6+3.2+3.5+2.4+15.6</f>
        <v>40.299999999999997</v>
      </c>
      <c r="F317" s="319">
        <v>1734920</v>
      </c>
      <c r="G317" s="319">
        <v>224582</v>
      </c>
      <c r="H317" s="319">
        <v>428495</v>
      </c>
      <c r="I317" s="319">
        <v>367892</v>
      </c>
      <c r="J317" s="1719">
        <v>1740079</v>
      </c>
      <c r="K317" s="1436"/>
      <c r="L317" s="177"/>
    </row>
    <row r="318" spans="2:12" ht="18" customHeight="1" x14ac:dyDescent="0.2">
      <c r="B318" s="1582" t="s">
        <v>1054</v>
      </c>
      <c r="C318" s="1569" t="s">
        <v>40</v>
      </c>
      <c r="D318" s="290">
        <f t="shared" si="13"/>
        <v>114.70879307648134</v>
      </c>
      <c r="E318" s="388"/>
      <c r="F318" s="319">
        <v>1763131</v>
      </c>
      <c r="G318" s="319">
        <v>240741</v>
      </c>
      <c r="H318" s="319">
        <v>435028</v>
      </c>
      <c r="I318" s="319">
        <v>344192</v>
      </c>
      <c r="J318" s="1550">
        <v>1724794</v>
      </c>
      <c r="K318" s="1436"/>
      <c r="L318" s="177"/>
    </row>
    <row r="319" spans="2:12" ht="18" customHeight="1" x14ac:dyDescent="0.2">
      <c r="B319" s="1408" t="s">
        <v>1967</v>
      </c>
      <c r="C319" s="1569" t="s">
        <v>40</v>
      </c>
      <c r="D319" s="290">
        <f t="shared" si="13"/>
        <v>114.72698878979639</v>
      </c>
      <c r="E319" s="389">
        <f>14.3+1.9+2.6+1.7+12.4</f>
        <v>32.9</v>
      </c>
      <c r="F319" s="319">
        <v>1750453</v>
      </c>
      <c r="G319" s="319">
        <v>230269</v>
      </c>
      <c r="H319" s="319">
        <v>439844</v>
      </c>
      <c r="I319" s="319">
        <v>359899</v>
      </c>
      <c r="J319" s="1550">
        <v>1725459</v>
      </c>
      <c r="K319" s="1436"/>
      <c r="L319" s="177"/>
    </row>
    <row r="320" spans="2:12" ht="18" customHeight="1" x14ac:dyDescent="0.2">
      <c r="B320" s="1408" t="s">
        <v>1966</v>
      </c>
      <c r="C320" s="1569" t="s">
        <v>40</v>
      </c>
      <c r="D320" s="290">
        <f t="shared" si="13"/>
        <v>115.00193936964598</v>
      </c>
      <c r="E320" s="389">
        <f>27.48+4.05+5.4+3.9+24</f>
        <v>64.83</v>
      </c>
      <c r="F320" s="319">
        <v>1741104</v>
      </c>
      <c r="G320" s="319">
        <v>227632</v>
      </c>
      <c r="H320" s="319">
        <v>435938</v>
      </c>
      <c r="I320" s="319">
        <v>366946</v>
      </c>
      <c r="J320" s="1550">
        <v>1759062</v>
      </c>
      <c r="K320" s="1436"/>
      <c r="L320" s="177"/>
    </row>
    <row r="321" spans="2:12" ht="18" customHeight="1" x14ac:dyDescent="0.2">
      <c r="B321" s="1408" t="s">
        <v>1962</v>
      </c>
      <c r="C321" s="1569" t="s">
        <v>40</v>
      </c>
      <c r="D321" s="290">
        <f t="shared" ref="D321:D352" si="16">SUM(F321/F$285,G321/G$285,H321/H$285,I321/I$285,J321/J$285)/5*100</f>
        <v>115.24491040358652</v>
      </c>
      <c r="E321" s="389">
        <f>17.5+2.9+3.9+2.9+16.2</f>
        <v>43.399999999999991</v>
      </c>
      <c r="F321" s="319">
        <v>1759162</v>
      </c>
      <c r="G321" s="319">
        <v>227623</v>
      </c>
      <c r="H321" s="319">
        <v>435928</v>
      </c>
      <c r="I321" s="319">
        <v>366936</v>
      </c>
      <c r="J321" s="1550">
        <v>1759049</v>
      </c>
      <c r="K321" s="1436"/>
      <c r="L321" s="177"/>
    </row>
    <row r="322" spans="2:12" ht="18" customHeight="1" x14ac:dyDescent="0.2">
      <c r="B322" s="1376" t="s">
        <v>1956</v>
      </c>
      <c r="C322" s="1569"/>
      <c r="D322" s="290">
        <f t="shared" si="16"/>
        <v>115.74643144954307</v>
      </c>
      <c r="E322" s="389">
        <f>74.35+13.45+13.63+9.44+62.58</f>
        <v>173.45</v>
      </c>
      <c r="F322" s="319">
        <v>1682057</v>
      </c>
      <c r="G322" s="319">
        <v>240251</v>
      </c>
      <c r="H322" s="319">
        <v>441727</v>
      </c>
      <c r="I322" s="319">
        <v>370002</v>
      </c>
      <c r="J322" s="1550">
        <v>1743416</v>
      </c>
      <c r="K322" s="1436"/>
      <c r="L322" s="177"/>
    </row>
    <row r="323" spans="2:12" ht="18" customHeight="1" x14ac:dyDescent="0.2">
      <c r="B323" s="500" t="s">
        <v>1963</v>
      </c>
      <c r="C323" s="1569" t="s">
        <v>40</v>
      </c>
      <c r="D323" s="290">
        <f t="shared" si="16"/>
        <v>116.09545174194653</v>
      </c>
      <c r="E323" s="389">
        <f>16.5+2.1+2.8+1.9+13.9</f>
        <v>37.200000000000003</v>
      </c>
      <c r="F323" s="319">
        <v>1771583</v>
      </c>
      <c r="G323" s="319">
        <v>232255</v>
      </c>
      <c r="H323" s="319">
        <v>445385</v>
      </c>
      <c r="I323" s="319">
        <v>365347</v>
      </c>
      <c r="J323" s="176">
        <v>1744927</v>
      </c>
      <c r="K323" s="385"/>
      <c r="L323" s="177"/>
    </row>
    <row r="324" spans="2:12" ht="18" customHeight="1" x14ac:dyDescent="0.2">
      <c r="B324" s="1408" t="s">
        <v>1978</v>
      </c>
      <c r="C324" s="1567" t="s">
        <v>40</v>
      </c>
      <c r="D324" s="1594">
        <f t="shared" si="16"/>
        <v>116.15723696372685</v>
      </c>
      <c r="E324" s="389">
        <f>19+2.8+3.6+2.5+16.1</f>
        <v>44</v>
      </c>
      <c r="F324" s="317">
        <v>1772365</v>
      </c>
      <c r="G324" s="319">
        <v>232440</v>
      </c>
      <c r="H324" s="319">
        <v>445616</v>
      </c>
      <c r="I324" s="319">
        <v>365513</v>
      </c>
      <c r="J324" s="1565">
        <v>1745714</v>
      </c>
      <c r="K324" s="1436"/>
      <c r="L324" s="177"/>
    </row>
    <row r="325" spans="2:12" ht="18" customHeight="1" x14ac:dyDescent="0.2">
      <c r="B325" s="1408" t="s">
        <v>1993</v>
      </c>
      <c r="C325" s="1569" t="s">
        <v>40</v>
      </c>
      <c r="D325" s="1594">
        <f t="shared" si="16"/>
        <v>116.20529176028521</v>
      </c>
      <c r="E325" s="389">
        <f>23.3+5.1+5.8+3.7+23.2</f>
        <v>61.099999999999994</v>
      </c>
      <c r="F325" s="1661">
        <v>1768884</v>
      </c>
      <c r="G325" s="1665">
        <v>229051</v>
      </c>
      <c r="H325" s="1665">
        <v>440390</v>
      </c>
      <c r="I325" s="1665">
        <v>372316</v>
      </c>
      <c r="J325" s="1565">
        <v>1768089</v>
      </c>
      <c r="K325" s="1436"/>
      <c r="L325" s="177"/>
    </row>
    <row r="326" spans="2:12" ht="18" customHeight="1" x14ac:dyDescent="0.2">
      <c r="B326" s="1408" t="s">
        <v>1979</v>
      </c>
      <c r="C326" s="1567" t="s">
        <v>40</v>
      </c>
      <c r="D326" s="1594">
        <f t="shared" si="16"/>
        <v>116.3605225716845</v>
      </c>
      <c r="E326" s="389">
        <f>17+2.7+3.3+2.3+15.2</f>
        <v>40.5</v>
      </c>
      <c r="F326" s="1661">
        <v>1772505</v>
      </c>
      <c r="G326" s="1648">
        <v>229221</v>
      </c>
      <c r="H326" s="1648">
        <v>440372</v>
      </c>
      <c r="I326" s="1648">
        <v>372584</v>
      </c>
      <c r="J326" s="1565">
        <v>1773732</v>
      </c>
      <c r="K326" s="1436"/>
      <c r="L326" s="177"/>
    </row>
    <row r="327" spans="2:12" ht="18" customHeight="1" x14ac:dyDescent="0.2">
      <c r="B327" s="500" t="s">
        <v>1964</v>
      </c>
      <c r="C327" s="399" t="s">
        <v>40</v>
      </c>
      <c r="D327" s="290">
        <f t="shared" si="16"/>
        <v>116.36346216007421</v>
      </c>
      <c r="E327" s="312">
        <f>19.3+2.8+3.8+2.8+17.6</f>
        <v>46.300000000000004</v>
      </c>
      <c r="F327" s="174">
        <v>1772525</v>
      </c>
      <c r="G327" s="175">
        <v>229235</v>
      </c>
      <c r="H327" s="175">
        <v>440370</v>
      </c>
      <c r="I327" s="175">
        <v>372598</v>
      </c>
      <c r="J327" s="176">
        <v>1773772</v>
      </c>
      <c r="K327" s="385"/>
      <c r="L327" s="177"/>
    </row>
    <row r="328" spans="2:12" ht="18" customHeight="1" x14ac:dyDescent="0.2">
      <c r="B328" s="512" t="s">
        <v>531</v>
      </c>
      <c r="C328" s="1569" t="s">
        <v>40</v>
      </c>
      <c r="D328" s="290">
        <f t="shared" si="16"/>
        <v>116.65523873556116</v>
      </c>
      <c r="E328" s="312">
        <f>1.575+0.246+0.296+0.217+1.368</f>
        <v>3.702</v>
      </c>
      <c r="F328" s="174">
        <v>1820128</v>
      </c>
      <c r="G328" s="1648">
        <v>241315</v>
      </c>
      <c r="H328" s="1648">
        <v>448208</v>
      </c>
      <c r="I328" s="1648">
        <v>349410</v>
      </c>
      <c r="J328" s="1550">
        <v>1731905</v>
      </c>
      <c r="K328" s="1436"/>
      <c r="L328" s="177"/>
    </row>
    <row r="329" spans="2:12" ht="18" customHeight="1" x14ac:dyDescent="0.2">
      <c r="B329" s="1623" t="s">
        <v>1028</v>
      </c>
      <c r="C329" s="1567" t="s">
        <v>40</v>
      </c>
      <c r="D329" s="290">
        <f t="shared" si="16"/>
        <v>117.20297069045739</v>
      </c>
      <c r="E329" s="312">
        <f>1.314+0.218+0.275+0.261+1.081</f>
        <v>3.149</v>
      </c>
      <c r="F329" s="174">
        <v>1804581</v>
      </c>
      <c r="G329" s="1648">
        <v>244940</v>
      </c>
      <c r="H329" s="1648">
        <v>439587</v>
      </c>
      <c r="I329" s="1648">
        <v>361304</v>
      </c>
      <c r="J329" s="1550">
        <v>1741564</v>
      </c>
      <c r="K329" s="1436"/>
      <c r="L329" s="177"/>
    </row>
    <row r="330" spans="2:12" ht="18" customHeight="1" x14ac:dyDescent="0.2">
      <c r="B330" s="1632" t="s">
        <v>1721</v>
      </c>
      <c r="C330" s="1596"/>
      <c r="D330" s="290">
        <f t="shared" si="16"/>
        <v>117.80450830387016</v>
      </c>
      <c r="E330" s="312">
        <f>2.123+0.512+0.541+0.437+1.882</f>
        <v>5.4950000000000001</v>
      </c>
      <c r="F330" s="174">
        <v>1834109</v>
      </c>
      <c r="G330" s="1651">
        <v>238498</v>
      </c>
      <c r="H330" s="1651">
        <v>439812</v>
      </c>
      <c r="I330" s="1651">
        <v>363201</v>
      </c>
      <c r="J330" s="1652">
        <v>1796138</v>
      </c>
      <c r="K330" s="1436"/>
      <c r="L330" s="177"/>
    </row>
    <row r="331" spans="2:12" ht="18" customHeight="1" x14ac:dyDescent="0.2">
      <c r="B331" s="495" t="s">
        <v>2077</v>
      </c>
      <c r="C331" s="3360"/>
      <c r="D331" s="290">
        <f t="shared" si="16"/>
        <v>120.19375485423483</v>
      </c>
      <c r="E331" s="312">
        <f>1.207+0.491+0.529+0.404+1.087</f>
        <v>3.718</v>
      </c>
      <c r="F331" s="308">
        <v>1654005</v>
      </c>
      <c r="G331" s="308">
        <v>253133</v>
      </c>
      <c r="H331" s="308">
        <v>473771</v>
      </c>
      <c r="I331" s="308">
        <v>381854</v>
      </c>
      <c r="J331" s="392">
        <v>1828674</v>
      </c>
      <c r="K331" s="393"/>
      <c r="L331" s="177"/>
    </row>
    <row r="332" spans="2:12" ht="18" customHeight="1" x14ac:dyDescent="0.2">
      <c r="B332" s="3357" t="s">
        <v>1718</v>
      </c>
      <c r="C332" s="326"/>
      <c r="D332" s="290">
        <f t="shared" si="16"/>
        <v>121.3763504532365</v>
      </c>
      <c r="E332" s="204">
        <f>5+0.9+1+0.6+5</f>
        <v>12.5</v>
      </c>
      <c r="F332" s="308">
        <v>1891646</v>
      </c>
      <c r="G332" s="308">
        <v>251864</v>
      </c>
      <c r="H332" s="308">
        <v>465317</v>
      </c>
      <c r="I332" s="308">
        <v>371641</v>
      </c>
      <c r="J332" s="392">
        <v>1764343</v>
      </c>
      <c r="K332" s="387"/>
      <c r="L332" s="177"/>
    </row>
    <row r="333" spans="2:12" ht="18" customHeight="1" x14ac:dyDescent="0.2">
      <c r="B333" s="500" t="s">
        <v>1906</v>
      </c>
      <c r="C333" s="201"/>
      <c r="D333" s="290">
        <f t="shared" si="16"/>
        <v>121.53861985187542</v>
      </c>
      <c r="E333" s="312">
        <f>4.9+0.79+0.85+0.82+4.29</f>
        <v>11.65</v>
      </c>
      <c r="F333" s="308">
        <v>1914914</v>
      </c>
      <c r="G333" s="308">
        <v>250113</v>
      </c>
      <c r="H333" s="308">
        <v>466369</v>
      </c>
      <c r="I333" s="308">
        <v>366696</v>
      </c>
      <c r="J333" s="392">
        <v>1784916</v>
      </c>
      <c r="K333" s="1436"/>
      <c r="L333" s="177"/>
    </row>
    <row r="334" spans="2:12" ht="18" customHeight="1" x14ac:dyDescent="0.2">
      <c r="B334" s="501" t="s">
        <v>1905</v>
      </c>
      <c r="C334" s="323"/>
      <c r="D334" s="290">
        <f t="shared" si="16"/>
        <v>121.92647620095205</v>
      </c>
      <c r="E334" s="312">
        <f>4.87+0.79+0.87+0.84+4.26</f>
        <v>11.629999999999999</v>
      </c>
      <c r="F334" s="308">
        <v>1918098</v>
      </c>
      <c r="G334" s="308">
        <v>250630</v>
      </c>
      <c r="H334" s="308">
        <v>467346</v>
      </c>
      <c r="I334" s="308">
        <v>369093</v>
      </c>
      <c r="J334" s="392">
        <v>1792103</v>
      </c>
      <c r="K334" s="1436"/>
      <c r="L334" s="177"/>
    </row>
    <row r="335" spans="2:12" ht="18" customHeight="1" x14ac:dyDescent="0.2">
      <c r="B335" s="501" t="s">
        <v>1037</v>
      </c>
      <c r="C335" s="323" t="s">
        <v>40</v>
      </c>
      <c r="D335" s="290">
        <f t="shared" si="16"/>
        <v>122.13239829752574</v>
      </c>
      <c r="E335" s="391"/>
      <c r="F335" s="308">
        <v>1919889</v>
      </c>
      <c r="G335" s="308">
        <v>250871</v>
      </c>
      <c r="H335" s="308">
        <v>467961</v>
      </c>
      <c r="I335" s="308">
        <v>369303</v>
      </c>
      <c r="J335" s="392">
        <v>1800684</v>
      </c>
      <c r="K335" s="1436"/>
      <c r="L335" s="177"/>
    </row>
    <row r="336" spans="2:12" ht="18" customHeight="1" x14ac:dyDescent="0.2">
      <c r="B336" s="1408" t="s">
        <v>924</v>
      </c>
      <c r="C336" s="359" t="s">
        <v>40</v>
      </c>
      <c r="D336" s="290">
        <f t="shared" si="16"/>
        <v>122.13239829752574</v>
      </c>
      <c r="E336" s="391"/>
      <c r="F336" s="308">
        <v>1919889</v>
      </c>
      <c r="G336" s="308">
        <v>250871</v>
      </c>
      <c r="H336" s="308">
        <v>467961</v>
      </c>
      <c r="I336" s="308">
        <v>369303</v>
      </c>
      <c r="J336" s="392">
        <v>1800684</v>
      </c>
      <c r="K336" s="1436"/>
      <c r="L336" s="177"/>
    </row>
    <row r="337" spans="2:12" ht="18" customHeight="1" x14ac:dyDescent="0.2">
      <c r="B337" s="2497" t="s">
        <v>1869</v>
      </c>
      <c r="C337" s="359" t="s">
        <v>40</v>
      </c>
      <c r="D337" s="290">
        <f t="shared" si="16"/>
        <v>122.13408367163878</v>
      </c>
      <c r="E337" s="312">
        <f>0.8+0.39+0.41+0.4+0.62</f>
        <v>2.62</v>
      </c>
      <c r="F337" s="1535">
        <v>1919896</v>
      </c>
      <c r="G337" s="1535">
        <v>250878</v>
      </c>
      <c r="H337" s="1535">
        <v>467968</v>
      </c>
      <c r="I337" s="1535">
        <v>369310</v>
      </c>
      <c r="J337" s="1536">
        <v>1800691</v>
      </c>
      <c r="K337" s="1436"/>
      <c r="L337" s="177"/>
    </row>
    <row r="338" spans="2:12" ht="18" customHeight="1" x14ac:dyDescent="0.2">
      <c r="B338" s="500" t="s">
        <v>923</v>
      </c>
      <c r="C338" s="201" t="s">
        <v>40</v>
      </c>
      <c r="D338" s="290">
        <f t="shared" si="16"/>
        <v>122.13408367163878</v>
      </c>
      <c r="E338" s="391"/>
      <c r="F338" s="1535">
        <v>1919896</v>
      </c>
      <c r="G338" s="1535">
        <v>250878</v>
      </c>
      <c r="H338" s="1535">
        <v>467968</v>
      </c>
      <c r="I338" s="1535">
        <v>369310</v>
      </c>
      <c r="J338" s="1536">
        <v>1800691</v>
      </c>
      <c r="K338" s="1436"/>
      <c r="L338" s="177"/>
    </row>
    <row r="339" spans="2:12" ht="18" customHeight="1" x14ac:dyDescent="0.2">
      <c r="B339" s="2491" t="s">
        <v>1052</v>
      </c>
      <c r="C339" s="331" t="s">
        <v>40</v>
      </c>
      <c r="D339" s="290">
        <f t="shared" si="16"/>
        <v>122.21291459511068</v>
      </c>
      <c r="E339" s="391"/>
      <c r="F339" s="1535">
        <v>1904845</v>
      </c>
      <c r="G339" s="1535">
        <v>246585</v>
      </c>
      <c r="H339" s="1535">
        <v>456848</v>
      </c>
      <c r="I339" s="1535">
        <v>380421</v>
      </c>
      <c r="J339" s="1536">
        <v>1848091</v>
      </c>
      <c r="K339" s="1436"/>
      <c r="L339" s="177"/>
    </row>
    <row r="340" spans="2:12" ht="18" customHeight="1" x14ac:dyDescent="0.2">
      <c r="B340" s="1376" t="s">
        <v>1051</v>
      </c>
      <c r="C340" s="394"/>
      <c r="D340" s="290">
        <f t="shared" si="16"/>
        <v>122.24586334494964</v>
      </c>
      <c r="E340" s="391"/>
      <c r="F340" s="177">
        <v>1904934</v>
      </c>
      <c r="G340" s="395">
        <v>246727</v>
      </c>
      <c r="H340" s="395">
        <v>456986</v>
      </c>
      <c r="I340" s="395">
        <v>380565</v>
      </c>
      <c r="J340" s="387">
        <v>1848200</v>
      </c>
      <c r="K340" s="387"/>
      <c r="L340" s="177"/>
    </row>
    <row r="341" spans="2:12" ht="18" customHeight="1" x14ac:dyDescent="0.2">
      <c r="B341" s="514" t="s">
        <v>1139</v>
      </c>
      <c r="C341" s="396"/>
      <c r="D341" s="290">
        <f t="shared" si="16"/>
        <v>122.4354640165554</v>
      </c>
      <c r="E341" s="391"/>
      <c r="F341" s="302">
        <v>1868911</v>
      </c>
      <c r="G341" s="397">
        <v>258401</v>
      </c>
      <c r="H341" s="397">
        <v>446217</v>
      </c>
      <c r="I341" s="397">
        <v>387376</v>
      </c>
      <c r="J341" s="398">
        <v>1823140</v>
      </c>
      <c r="K341" s="393"/>
      <c r="L341" s="177"/>
    </row>
    <row r="342" spans="2:12" ht="18" customHeight="1" x14ac:dyDescent="0.2">
      <c r="B342" s="503" t="s">
        <v>1740</v>
      </c>
      <c r="C342" s="396" t="s">
        <v>40</v>
      </c>
      <c r="D342" s="290">
        <f t="shared" si="16"/>
        <v>122.71634642231382</v>
      </c>
      <c r="E342" s="312">
        <f>1.89+0.31+0.42+0.35+1.71</f>
        <v>4.68</v>
      </c>
      <c r="F342" s="302">
        <v>1878884</v>
      </c>
      <c r="G342" s="397">
        <v>253393</v>
      </c>
      <c r="H342" s="397">
        <v>468657</v>
      </c>
      <c r="I342" s="397">
        <v>371764</v>
      </c>
      <c r="J342" s="398">
        <v>1854444</v>
      </c>
      <c r="K342" s="393"/>
      <c r="L342" s="177"/>
    </row>
    <row r="343" spans="2:12" ht="18" customHeight="1" x14ac:dyDescent="0.2">
      <c r="B343" s="2501" t="s">
        <v>1994</v>
      </c>
      <c r="C343" s="396" t="s">
        <v>40</v>
      </c>
      <c r="D343" s="290">
        <f t="shared" si="16"/>
        <v>123.11321863324875</v>
      </c>
      <c r="E343" s="312">
        <f>3.5+0.7+1.1+0.7+3.5</f>
        <v>9.5</v>
      </c>
      <c r="F343" s="302">
        <v>1947686</v>
      </c>
      <c r="G343" s="397">
        <v>247030</v>
      </c>
      <c r="H343" s="397">
        <v>462108</v>
      </c>
      <c r="I343" s="397">
        <v>375526</v>
      </c>
      <c r="J343" s="398">
        <v>1870724</v>
      </c>
      <c r="K343" s="387"/>
      <c r="L343" s="177"/>
    </row>
    <row r="344" spans="2:12" ht="18" customHeight="1" x14ac:dyDescent="0.2">
      <c r="B344" s="503" t="s">
        <v>528</v>
      </c>
      <c r="C344" s="2171"/>
      <c r="D344" s="290">
        <f t="shared" si="16"/>
        <v>123.3585749994719</v>
      </c>
      <c r="E344" s="391"/>
      <c r="F344" s="302">
        <v>1982090</v>
      </c>
      <c r="G344" s="397">
        <v>257006</v>
      </c>
      <c r="H344" s="397">
        <v>467211</v>
      </c>
      <c r="I344" s="397">
        <v>361256</v>
      </c>
      <c r="J344" s="398">
        <v>1824187</v>
      </c>
      <c r="K344" s="393"/>
      <c r="L344" s="177"/>
    </row>
    <row r="345" spans="2:12" ht="18" customHeight="1" x14ac:dyDescent="0.2">
      <c r="B345" s="3358" t="s">
        <v>2216</v>
      </c>
      <c r="C345" s="396"/>
      <c r="D345" s="290">
        <f t="shared" si="16"/>
        <v>123.60287735623827</v>
      </c>
      <c r="E345" s="312">
        <f>7.3+2+2.1+2.1+6.2</f>
        <v>19.7</v>
      </c>
      <c r="F345" s="302">
        <v>1881861</v>
      </c>
      <c r="G345" s="397">
        <v>259446</v>
      </c>
      <c r="H345" s="397">
        <v>468931</v>
      </c>
      <c r="I345" s="397">
        <v>372603</v>
      </c>
      <c r="J345" s="398">
        <v>1868107</v>
      </c>
      <c r="K345" s="393"/>
      <c r="L345" s="177"/>
    </row>
    <row r="346" spans="2:12" ht="18" customHeight="1" x14ac:dyDescent="0.2">
      <c r="B346" s="497" t="s">
        <v>560</v>
      </c>
      <c r="C346" s="2171"/>
      <c r="D346" s="290">
        <f t="shared" si="16"/>
        <v>123.71142115986275</v>
      </c>
      <c r="E346" s="391"/>
      <c r="F346" s="302">
        <v>1853783</v>
      </c>
      <c r="G346" s="397">
        <v>275657</v>
      </c>
      <c r="H346" s="397">
        <v>454147</v>
      </c>
      <c r="I346" s="397">
        <v>363541</v>
      </c>
      <c r="J346" s="398">
        <v>1885202</v>
      </c>
      <c r="K346" s="393"/>
      <c r="L346" s="177"/>
    </row>
    <row r="347" spans="2:12" ht="18" customHeight="1" x14ac:dyDescent="0.2">
      <c r="B347" s="497" t="s">
        <v>1720</v>
      </c>
      <c r="C347" s="3116"/>
      <c r="D347" s="290">
        <f t="shared" si="16"/>
        <v>123.95261800254191</v>
      </c>
      <c r="E347" s="312">
        <f>8+2+2+1+7</f>
        <v>20</v>
      </c>
      <c r="F347" s="177">
        <v>1914848</v>
      </c>
      <c r="G347" s="295">
        <v>255188</v>
      </c>
      <c r="H347" s="295">
        <v>473172</v>
      </c>
      <c r="I347" s="295">
        <v>383272</v>
      </c>
      <c r="J347" s="387">
        <v>1825433</v>
      </c>
      <c r="K347" s="387"/>
      <c r="L347" s="177"/>
    </row>
    <row r="348" spans="2:12" ht="18" customHeight="1" x14ac:dyDescent="0.2">
      <c r="B348" s="504" t="s">
        <v>535</v>
      </c>
      <c r="C348" s="3361"/>
      <c r="D348" s="290">
        <f t="shared" si="16"/>
        <v>123.97827537300053</v>
      </c>
      <c r="E348" s="391"/>
      <c r="F348" s="298">
        <v>1961614</v>
      </c>
      <c r="G348" s="299">
        <v>251422</v>
      </c>
      <c r="H348" s="299">
        <v>479875</v>
      </c>
      <c r="I348" s="299">
        <v>363473</v>
      </c>
      <c r="J348" s="400">
        <v>1873382</v>
      </c>
      <c r="K348" s="385"/>
      <c r="L348" s="177"/>
    </row>
    <row r="349" spans="2:12" ht="18" customHeight="1" x14ac:dyDescent="0.2">
      <c r="B349" s="495" t="s">
        <v>2072</v>
      </c>
      <c r="C349" s="1636"/>
      <c r="D349" s="290">
        <f t="shared" si="16"/>
        <v>124.33893277236132</v>
      </c>
      <c r="E349" s="312">
        <f>2.35+2.33+2.07+0.8+1.84</f>
        <v>9.39</v>
      </c>
      <c r="F349" s="174">
        <v>1765706</v>
      </c>
      <c r="G349" s="175">
        <v>276516</v>
      </c>
      <c r="H349" s="175">
        <v>503373</v>
      </c>
      <c r="I349" s="175">
        <v>368650</v>
      </c>
      <c r="J349" s="401">
        <v>1793458</v>
      </c>
      <c r="K349" s="387"/>
      <c r="L349" s="177"/>
    </row>
    <row r="350" spans="2:12" ht="18" customHeight="1" x14ac:dyDescent="0.2">
      <c r="B350" s="508" t="s">
        <v>1737</v>
      </c>
      <c r="C350" s="3362"/>
      <c r="D350" s="290">
        <f t="shared" si="16"/>
        <v>124.49849891426337</v>
      </c>
      <c r="E350" s="391"/>
      <c r="F350" s="174">
        <v>1985679</v>
      </c>
      <c r="G350" s="175">
        <v>254694</v>
      </c>
      <c r="H350" s="175">
        <v>467684</v>
      </c>
      <c r="I350" s="175">
        <v>370349</v>
      </c>
      <c r="J350" s="401">
        <v>1880624</v>
      </c>
      <c r="K350" s="387"/>
      <c r="L350" s="177"/>
    </row>
    <row r="351" spans="2:12" ht="18" customHeight="1" x14ac:dyDescent="0.25">
      <c r="B351" s="510" t="s">
        <v>2003</v>
      </c>
      <c r="C351" s="294" t="s">
        <v>40</v>
      </c>
      <c r="D351" s="290">
        <f t="shared" si="16"/>
        <v>125.08761339330134</v>
      </c>
      <c r="E351" s="312">
        <f>0.421+0.395+0.404+0.393+0.404</f>
        <v>2.0170000000000003</v>
      </c>
      <c r="F351" s="194">
        <v>1957160</v>
      </c>
      <c r="G351" s="183">
        <v>264344</v>
      </c>
      <c r="H351" s="183">
        <v>461876</v>
      </c>
      <c r="I351" s="183">
        <v>380616</v>
      </c>
      <c r="J351" s="183">
        <v>1857256</v>
      </c>
      <c r="K351" s="385"/>
      <c r="L351" s="177"/>
    </row>
    <row r="352" spans="2:12" ht="18" customHeight="1" x14ac:dyDescent="0.2">
      <c r="B352" s="497" t="s">
        <v>1042</v>
      </c>
      <c r="C352" s="329" t="s">
        <v>40</v>
      </c>
      <c r="D352" s="290">
        <f t="shared" si="16"/>
        <v>125.31388908311085</v>
      </c>
      <c r="E352" s="391"/>
      <c r="F352" s="194">
        <v>1931386</v>
      </c>
      <c r="G352" s="183">
        <v>278884</v>
      </c>
      <c r="H352" s="183">
        <v>445755</v>
      </c>
      <c r="I352" s="183">
        <v>376200</v>
      </c>
      <c r="J352" s="402">
        <v>1877261</v>
      </c>
      <c r="K352" s="385"/>
      <c r="L352" s="177"/>
    </row>
    <row r="353" spans="2:12" ht="18" customHeight="1" x14ac:dyDescent="0.2">
      <c r="B353" s="500" t="s">
        <v>968</v>
      </c>
      <c r="C353" s="301"/>
      <c r="D353" s="290">
        <f t="shared" ref="D353:D381" si="17">SUM(F353/F$285,G353/G$285,H353/H$285,I353/I$285,J353/J$285)/5*100</f>
        <v>126.96950805554621</v>
      </c>
      <c r="E353" s="391"/>
      <c r="F353" s="194">
        <v>1993453</v>
      </c>
      <c r="G353" s="183">
        <v>283028</v>
      </c>
      <c r="H353" s="183">
        <v>476720</v>
      </c>
      <c r="I353" s="241">
        <v>358478</v>
      </c>
      <c r="J353" s="191">
        <v>1865170</v>
      </c>
      <c r="K353" s="385"/>
      <c r="L353" s="177"/>
    </row>
    <row r="354" spans="2:12" ht="18" customHeight="1" x14ac:dyDescent="0.2">
      <c r="B354" s="510" t="s">
        <v>1955</v>
      </c>
      <c r="C354" s="331"/>
      <c r="D354" s="290">
        <f t="shared" si="17"/>
        <v>128.37829337553958</v>
      </c>
      <c r="E354" s="312">
        <f>189.81+31.65+61.79+48.72+273.18</f>
        <v>605.15000000000009</v>
      </c>
      <c r="F354" s="194">
        <v>1740914</v>
      </c>
      <c r="G354" s="183">
        <v>247157</v>
      </c>
      <c r="H354" s="183">
        <v>524167</v>
      </c>
      <c r="I354" s="183">
        <v>447549</v>
      </c>
      <c r="J354" s="214">
        <v>1895691</v>
      </c>
      <c r="K354" s="385"/>
      <c r="L354" s="177"/>
    </row>
    <row r="355" spans="2:12" ht="18" customHeight="1" x14ac:dyDescent="0.2">
      <c r="B355" s="500" t="s">
        <v>1712</v>
      </c>
      <c r="C355" s="331" t="s">
        <v>40</v>
      </c>
      <c r="D355" s="290">
        <f t="shared" si="17"/>
        <v>129.98178258317054</v>
      </c>
      <c r="E355" s="1383">
        <f>0.939+0.148+0.172+0.132+0.754</f>
        <v>2.145</v>
      </c>
      <c r="F355" s="194">
        <v>1996524</v>
      </c>
      <c r="G355" s="183">
        <v>280484</v>
      </c>
      <c r="H355" s="183">
        <v>479340</v>
      </c>
      <c r="I355" s="183">
        <v>392460</v>
      </c>
      <c r="J355" s="214">
        <v>1941328</v>
      </c>
      <c r="K355" s="385"/>
      <c r="L355" s="177"/>
    </row>
    <row r="356" spans="2:12" ht="18" customHeight="1" x14ac:dyDescent="0.2">
      <c r="B356" s="494" t="s">
        <v>1908</v>
      </c>
      <c r="C356" s="331"/>
      <c r="D356" s="290">
        <f t="shared" si="17"/>
        <v>130.67217568091672</v>
      </c>
      <c r="E356" s="312">
        <f>78.61+13.12+23.21+17.87+114.7</f>
        <v>247.51</v>
      </c>
      <c r="F356" s="243">
        <v>2128867</v>
      </c>
      <c r="G356" s="214">
        <v>247616</v>
      </c>
      <c r="H356" s="214">
        <v>497094</v>
      </c>
      <c r="I356" s="214">
        <v>401394</v>
      </c>
      <c r="J356" s="402">
        <v>1992316</v>
      </c>
      <c r="K356" s="385"/>
      <c r="L356" s="177"/>
    </row>
    <row r="357" spans="2:12" ht="18" customHeight="1" x14ac:dyDescent="0.2">
      <c r="B357" s="1459" t="s">
        <v>1726</v>
      </c>
      <c r="C357" s="328"/>
      <c r="D357" s="290">
        <f t="shared" si="17"/>
        <v>131.2897514132749</v>
      </c>
      <c r="E357" s="391"/>
      <c r="F357" s="194">
        <v>2167619</v>
      </c>
      <c r="G357" s="183">
        <v>260675</v>
      </c>
      <c r="H357" s="183">
        <v>493283</v>
      </c>
      <c r="I357" s="183">
        <v>393647</v>
      </c>
      <c r="J357" s="402">
        <v>1951926</v>
      </c>
      <c r="K357" s="385"/>
      <c r="L357" s="177"/>
    </row>
    <row r="358" spans="2:12" ht="18" customHeight="1" x14ac:dyDescent="0.2">
      <c r="B358" s="495" t="s">
        <v>943</v>
      </c>
      <c r="C358" s="335"/>
      <c r="D358" s="290">
        <f t="shared" si="17"/>
        <v>131.51414578734341</v>
      </c>
      <c r="E358" s="391"/>
      <c r="F358" s="194">
        <v>2001664</v>
      </c>
      <c r="G358" s="183">
        <v>274416</v>
      </c>
      <c r="H358" s="183">
        <v>517504</v>
      </c>
      <c r="I358" s="183">
        <v>371504</v>
      </c>
      <c r="J358" s="402">
        <v>2042656</v>
      </c>
      <c r="K358" s="385"/>
      <c r="L358" s="177"/>
    </row>
    <row r="359" spans="2:12" ht="18" customHeight="1" x14ac:dyDescent="0.2">
      <c r="B359" s="3359" t="s">
        <v>1741</v>
      </c>
      <c r="C359" s="190" t="s">
        <v>40</v>
      </c>
      <c r="D359" s="290">
        <f t="shared" si="17"/>
        <v>132.78691603053733</v>
      </c>
      <c r="E359" s="391"/>
      <c r="F359" s="1377">
        <v>2139585</v>
      </c>
      <c r="G359" s="1378">
        <v>267014</v>
      </c>
      <c r="H359" s="1378">
        <v>504273</v>
      </c>
      <c r="I359" s="1378">
        <v>377497</v>
      </c>
      <c r="J359" s="1382">
        <v>2078803</v>
      </c>
      <c r="K359" s="1436"/>
      <c r="L359" s="177"/>
    </row>
    <row r="360" spans="2:12" ht="18" customHeight="1" x14ac:dyDescent="0.25">
      <c r="B360" s="3115" t="s">
        <v>1892</v>
      </c>
      <c r="C360" s="314"/>
      <c r="D360" s="290">
        <f t="shared" si="17"/>
        <v>132.94586243777354</v>
      </c>
      <c r="E360" s="391"/>
      <c r="F360" s="194">
        <v>2162314</v>
      </c>
      <c r="G360" s="195">
        <v>269028</v>
      </c>
      <c r="H360" s="195">
        <v>485542</v>
      </c>
      <c r="I360" s="195">
        <v>385118</v>
      </c>
      <c r="J360" s="403">
        <v>2092505</v>
      </c>
      <c r="K360" s="387"/>
      <c r="L360" s="177"/>
    </row>
    <row r="361" spans="2:12" ht="18" customHeight="1" x14ac:dyDescent="0.2">
      <c r="B361" s="497" t="s">
        <v>2081</v>
      </c>
      <c r="C361" s="1365" t="s">
        <v>40</v>
      </c>
      <c r="D361" s="290">
        <f t="shared" si="17"/>
        <v>133.00290737074118</v>
      </c>
      <c r="E361" s="204">
        <f>6.8+2+1.5+1.7+6.2</f>
        <v>18.2</v>
      </c>
      <c r="F361" s="1377">
        <v>2193861</v>
      </c>
      <c r="G361" s="1378">
        <v>272481</v>
      </c>
      <c r="H361" s="1378">
        <v>504560</v>
      </c>
      <c r="I361" s="1378">
        <v>365093</v>
      </c>
      <c r="J361" s="1382">
        <v>2054536</v>
      </c>
      <c r="K361" s="387"/>
      <c r="L361" s="177"/>
    </row>
    <row r="362" spans="2:12" ht="18" customHeight="1" x14ac:dyDescent="0.2">
      <c r="B362" s="495" t="s">
        <v>1043</v>
      </c>
      <c r="C362" s="331" t="s">
        <v>40</v>
      </c>
      <c r="D362" s="290">
        <f t="shared" si="17"/>
        <v>133.6849697787184</v>
      </c>
      <c r="E362" s="391"/>
      <c r="F362" s="194">
        <v>2174458</v>
      </c>
      <c r="G362" s="183">
        <v>271929</v>
      </c>
      <c r="H362" s="183">
        <v>487385</v>
      </c>
      <c r="I362" s="183">
        <v>386949</v>
      </c>
      <c r="J362" s="402">
        <v>2098263</v>
      </c>
      <c r="K362" s="385"/>
      <c r="L362" s="177"/>
    </row>
    <row r="363" spans="2:12" ht="18" customHeight="1" x14ac:dyDescent="0.2">
      <c r="B363" s="497" t="s">
        <v>1038</v>
      </c>
      <c r="C363" s="336" t="s">
        <v>40</v>
      </c>
      <c r="D363" s="290">
        <f t="shared" si="17"/>
        <v>134.01114198733481</v>
      </c>
      <c r="E363" s="391"/>
      <c r="F363" s="194">
        <v>2174654</v>
      </c>
      <c r="G363" s="183">
        <v>274595</v>
      </c>
      <c r="H363" s="183">
        <v>488156</v>
      </c>
      <c r="I363" s="183">
        <v>387183</v>
      </c>
      <c r="J363" s="402">
        <v>2098500</v>
      </c>
      <c r="K363" s="385"/>
      <c r="L363" s="177"/>
    </row>
    <row r="364" spans="2:12" ht="18" customHeight="1" x14ac:dyDescent="0.2">
      <c r="B364" s="494" t="s">
        <v>1039</v>
      </c>
      <c r="C364" s="341" t="s">
        <v>40</v>
      </c>
      <c r="D364" s="290">
        <f t="shared" si="17"/>
        <v>134.01242014959024</v>
      </c>
      <c r="E364" s="391"/>
      <c r="F364" s="194">
        <v>2174702</v>
      </c>
      <c r="G364" s="183">
        <v>274595</v>
      </c>
      <c r="H364" s="183">
        <v>488156</v>
      </c>
      <c r="I364" s="183">
        <v>387183</v>
      </c>
      <c r="J364" s="402">
        <v>2098548</v>
      </c>
      <c r="K364" s="385"/>
      <c r="L364" s="177"/>
    </row>
    <row r="365" spans="2:12" ht="18" customHeight="1" x14ac:dyDescent="0.2">
      <c r="B365" s="497" t="s">
        <v>1973</v>
      </c>
      <c r="C365" s="339" t="s">
        <v>40</v>
      </c>
      <c r="D365" s="290">
        <f t="shared" si="17"/>
        <v>134.01797247998709</v>
      </c>
      <c r="E365" s="1383">
        <f>1.022+0.157+0.186+0.156+0.848</f>
        <v>2.3689999999999998</v>
      </c>
      <c r="F365" s="194">
        <v>2153853</v>
      </c>
      <c r="G365" s="183">
        <v>277291</v>
      </c>
      <c r="H365" s="183">
        <v>496855</v>
      </c>
      <c r="I365" s="183">
        <v>412235</v>
      </c>
      <c r="J365" s="402">
        <v>1946582</v>
      </c>
      <c r="K365" s="385"/>
      <c r="L365" s="177"/>
    </row>
    <row r="366" spans="2:12" ht="18" customHeight="1" x14ac:dyDescent="0.2">
      <c r="B366" s="1455" t="s">
        <v>1742</v>
      </c>
      <c r="C366" s="1569" t="s">
        <v>40</v>
      </c>
      <c r="D366" s="290">
        <f t="shared" si="17"/>
        <v>134.23645143350348</v>
      </c>
      <c r="E366" s="1383">
        <f>0.925+0.146+0.168+0.142+0.795</f>
        <v>2.1759999999999997</v>
      </c>
      <c r="F366" s="1572">
        <v>2158545</v>
      </c>
      <c r="G366" s="1573">
        <v>278123</v>
      </c>
      <c r="H366" s="1573">
        <v>496789</v>
      </c>
      <c r="I366" s="1573">
        <v>412606</v>
      </c>
      <c r="J366" s="1574">
        <v>1950626</v>
      </c>
      <c r="K366" s="1436"/>
      <c r="L366" s="177"/>
    </row>
    <row r="367" spans="2:12" ht="18" customHeight="1" x14ac:dyDescent="0.2">
      <c r="B367" s="495" t="s">
        <v>1030</v>
      </c>
      <c r="C367" s="335"/>
      <c r="D367" s="290">
        <f t="shared" si="17"/>
        <v>134.37912417376216</v>
      </c>
      <c r="E367" s="391"/>
      <c r="F367" s="194">
        <v>2135628</v>
      </c>
      <c r="G367" s="183">
        <v>278411</v>
      </c>
      <c r="H367" s="183">
        <v>518962</v>
      </c>
      <c r="I367" s="183">
        <v>372362</v>
      </c>
      <c r="J367" s="402">
        <v>2082394</v>
      </c>
      <c r="K367" s="385"/>
      <c r="L367" s="177"/>
    </row>
    <row r="368" spans="2:12" ht="18" customHeight="1" x14ac:dyDescent="0.2">
      <c r="B368" s="2313" t="s">
        <v>2585</v>
      </c>
      <c r="C368" s="339"/>
      <c r="D368" s="290">
        <f t="shared" si="17"/>
        <v>134.68594684972769</v>
      </c>
      <c r="E368" s="312">
        <f>1+1+1+1+1</f>
        <v>5</v>
      </c>
      <c r="F368" s="194">
        <v>2060365</v>
      </c>
      <c r="G368" s="183">
        <v>271639</v>
      </c>
      <c r="H368" s="183">
        <v>544656</v>
      </c>
      <c r="I368" s="183">
        <v>386780</v>
      </c>
      <c r="J368" s="402">
        <v>2063001</v>
      </c>
      <c r="K368" s="385"/>
      <c r="L368" s="177"/>
    </row>
    <row r="369" spans="2:12" ht="18" customHeight="1" x14ac:dyDescent="0.2">
      <c r="B369" s="2498" t="s">
        <v>2556</v>
      </c>
      <c r="C369" s="339"/>
      <c r="D369" s="290">
        <f t="shared" si="17"/>
        <v>134.71796212892804</v>
      </c>
      <c r="E369" s="312">
        <f>10.53+1.9+1.54+1.31+9.58</f>
        <v>24.86</v>
      </c>
      <c r="F369" s="194">
        <v>2157833</v>
      </c>
      <c r="G369" s="183">
        <v>270208</v>
      </c>
      <c r="H369" s="183">
        <v>526338</v>
      </c>
      <c r="I369" s="183">
        <v>373278</v>
      </c>
      <c r="J369" s="402">
        <v>2113316</v>
      </c>
      <c r="K369" s="385"/>
      <c r="L369" s="177"/>
    </row>
    <row r="370" spans="2:12" ht="18" customHeight="1" x14ac:dyDescent="0.2">
      <c r="B370" s="495" t="s">
        <v>967</v>
      </c>
      <c r="C370" s="337"/>
      <c r="D370" s="290">
        <f t="shared" si="17"/>
        <v>135.28358176097811</v>
      </c>
      <c r="E370" s="391"/>
      <c r="F370" s="243">
        <v>2122207</v>
      </c>
      <c r="G370" s="214">
        <v>281368</v>
      </c>
      <c r="H370" s="214">
        <v>526840</v>
      </c>
      <c r="I370" s="214">
        <v>376345</v>
      </c>
      <c r="J370" s="402">
        <v>2092228</v>
      </c>
      <c r="K370" s="385"/>
      <c r="L370" s="177"/>
    </row>
    <row r="371" spans="2:12" ht="18" customHeight="1" x14ac:dyDescent="0.2">
      <c r="B371" s="495" t="s">
        <v>562</v>
      </c>
      <c r="C371" s="1640"/>
      <c r="D371" s="290">
        <f t="shared" si="17"/>
        <v>136.20445842890791</v>
      </c>
      <c r="E371" s="391"/>
      <c r="F371" s="194">
        <v>2206598</v>
      </c>
      <c r="G371" s="183">
        <v>290086</v>
      </c>
      <c r="H371" s="183">
        <v>488895</v>
      </c>
      <c r="I371" s="183">
        <v>390115</v>
      </c>
      <c r="J371" s="402">
        <v>2098521</v>
      </c>
      <c r="K371" s="385"/>
      <c r="L371" s="177"/>
    </row>
    <row r="372" spans="2:12" ht="18" customHeight="1" x14ac:dyDescent="0.25">
      <c r="B372" s="1437" t="s">
        <v>1024</v>
      </c>
      <c r="C372" s="340" t="s">
        <v>40</v>
      </c>
      <c r="D372" s="290">
        <f t="shared" si="17"/>
        <v>136.46137468149885</v>
      </c>
      <c r="E372" s="391"/>
      <c r="F372" s="243">
        <v>2029108</v>
      </c>
      <c r="G372" s="214">
        <v>283404</v>
      </c>
      <c r="H372" s="214">
        <v>549524</v>
      </c>
      <c r="I372" s="214">
        <v>392318</v>
      </c>
      <c r="J372" s="402">
        <v>2096002</v>
      </c>
      <c r="K372" s="385"/>
      <c r="L372" s="177"/>
    </row>
    <row r="373" spans="2:12" ht="18" customHeight="1" x14ac:dyDescent="0.2">
      <c r="B373" s="504" t="s">
        <v>1370</v>
      </c>
      <c r="C373" s="328"/>
      <c r="D373" s="290">
        <f t="shared" si="17"/>
        <v>137.38995510223458</v>
      </c>
      <c r="E373" s="391"/>
      <c r="F373" s="194">
        <v>2215686</v>
      </c>
      <c r="G373" s="183">
        <v>285014</v>
      </c>
      <c r="H373" s="183">
        <v>523158</v>
      </c>
      <c r="I373" s="183">
        <v>377754</v>
      </c>
      <c r="J373" s="402">
        <v>2136990</v>
      </c>
      <c r="K373" s="385"/>
      <c r="L373" s="177"/>
    </row>
    <row r="374" spans="2:12" ht="18" customHeight="1" x14ac:dyDescent="0.2">
      <c r="B374" s="494" t="s">
        <v>1870</v>
      </c>
      <c r="C374" s="201" t="s">
        <v>40</v>
      </c>
      <c r="D374" s="290">
        <f t="shared" si="17"/>
        <v>137.60555236249394</v>
      </c>
      <c r="E374" s="312">
        <f>0.64+0.09+0.14+0.11+0.81</f>
        <v>1.79</v>
      </c>
      <c r="F374" s="194">
        <v>2274885</v>
      </c>
      <c r="G374" s="183">
        <v>282342</v>
      </c>
      <c r="H374" s="183">
        <v>475612</v>
      </c>
      <c r="I374" s="183">
        <v>408920</v>
      </c>
      <c r="J374" s="402">
        <v>2159384</v>
      </c>
      <c r="K374" s="385"/>
      <c r="L374" s="177"/>
    </row>
    <row r="375" spans="2:12" ht="18" customHeight="1" x14ac:dyDescent="0.2">
      <c r="B375" s="494" t="s">
        <v>1958</v>
      </c>
      <c r="C375" s="331" t="s">
        <v>40</v>
      </c>
      <c r="D375" s="290">
        <f t="shared" si="17"/>
        <v>138.21848581269606</v>
      </c>
      <c r="E375" s="312">
        <f>122.64+23.98+30.35+10.68+47.9</f>
        <v>235.55</v>
      </c>
      <c r="F375" s="194">
        <v>2312628</v>
      </c>
      <c r="G375" s="183">
        <v>280528</v>
      </c>
      <c r="H375" s="183">
        <v>555524</v>
      </c>
      <c r="I375" s="183">
        <v>393148</v>
      </c>
      <c r="J375" s="402">
        <v>1929188</v>
      </c>
      <c r="K375" s="385"/>
      <c r="L375" s="177"/>
    </row>
    <row r="376" spans="2:12" ht="18" customHeight="1" x14ac:dyDescent="0.2">
      <c r="B376" s="495" t="s">
        <v>1744</v>
      </c>
      <c r="C376" s="331"/>
      <c r="D376" s="290">
        <f t="shared" si="17"/>
        <v>138.58100369201512</v>
      </c>
      <c r="E376" s="391"/>
      <c r="F376" s="243">
        <v>2264553</v>
      </c>
      <c r="G376" s="214">
        <v>288158</v>
      </c>
      <c r="H376" s="214">
        <v>526853</v>
      </c>
      <c r="I376" s="214">
        <v>383465</v>
      </c>
      <c r="J376" s="402">
        <v>2111481</v>
      </c>
      <c r="K376" s="385"/>
      <c r="L376" s="177"/>
    </row>
    <row r="377" spans="2:12" ht="18" customHeight="1" x14ac:dyDescent="0.2">
      <c r="B377" s="497" t="s">
        <v>1040</v>
      </c>
      <c r="C377" s="1635"/>
      <c r="D377" s="290">
        <f t="shared" si="17"/>
        <v>139.17782455399347</v>
      </c>
      <c r="E377" s="391"/>
      <c r="F377" s="205">
        <v>2314985</v>
      </c>
      <c r="G377" s="334">
        <v>290499</v>
      </c>
      <c r="H377" s="334">
        <v>487232</v>
      </c>
      <c r="I377" s="334">
        <v>395751</v>
      </c>
      <c r="J377" s="402">
        <v>2190669</v>
      </c>
      <c r="K377" s="385"/>
      <c r="L377" s="177"/>
    </row>
    <row r="378" spans="2:12" ht="18" customHeight="1" x14ac:dyDescent="0.2">
      <c r="B378" s="495" t="s">
        <v>1733</v>
      </c>
      <c r="C378" s="328"/>
      <c r="D378" s="290">
        <f t="shared" si="17"/>
        <v>140.47411938344948</v>
      </c>
      <c r="E378" s="391"/>
      <c r="F378" s="205">
        <v>2231104</v>
      </c>
      <c r="G378" s="334">
        <v>314296</v>
      </c>
      <c r="H378" s="334">
        <v>512400</v>
      </c>
      <c r="I378" s="334">
        <v>409664</v>
      </c>
      <c r="J378" s="402">
        <v>2027784</v>
      </c>
      <c r="K378" s="385"/>
      <c r="L378" s="177"/>
    </row>
    <row r="379" spans="2:12" ht="18" customHeight="1" x14ac:dyDescent="0.2">
      <c r="B379" s="494" t="s">
        <v>1026</v>
      </c>
      <c r="C379" s="331"/>
      <c r="D379" s="290">
        <f t="shared" si="17"/>
        <v>141.50761485905073</v>
      </c>
      <c r="E379" s="391"/>
      <c r="F379" s="243">
        <v>2208098</v>
      </c>
      <c r="G379" s="214">
        <v>287846</v>
      </c>
      <c r="H379" s="183">
        <v>549307</v>
      </c>
      <c r="I379" s="183">
        <v>398679</v>
      </c>
      <c r="J379" s="402">
        <v>2233529</v>
      </c>
      <c r="K379" s="385"/>
      <c r="L379" s="177"/>
    </row>
    <row r="380" spans="2:12" ht="18" customHeight="1" x14ac:dyDescent="0.2">
      <c r="B380" s="497" t="s">
        <v>1872</v>
      </c>
      <c r="C380" s="339" t="s">
        <v>40</v>
      </c>
      <c r="D380" s="290">
        <f t="shared" si="17"/>
        <v>141.53077717232395</v>
      </c>
      <c r="E380" s="391"/>
      <c r="F380" s="205">
        <v>2163044</v>
      </c>
      <c r="G380" s="334">
        <v>335362</v>
      </c>
      <c r="H380" s="334">
        <v>507362</v>
      </c>
      <c r="I380" s="334">
        <v>406254</v>
      </c>
      <c r="J380" s="402">
        <v>2055750</v>
      </c>
      <c r="K380" s="385"/>
      <c r="L380" s="177"/>
    </row>
    <row r="381" spans="2:12" ht="18" customHeight="1" x14ac:dyDescent="0.2">
      <c r="B381" s="494" t="s">
        <v>1711</v>
      </c>
      <c r="C381" s="331" t="s">
        <v>40</v>
      </c>
      <c r="D381" s="290">
        <f t="shared" si="17"/>
        <v>141.59692950159973</v>
      </c>
      <c r="E381" s="312">
        <f>0.8+0.645+0.644+0.621+1.318</f>
        <v>4.0280000000000005</v>
      </c>
      <c r="F381" s="205">
        <v>2284383</v>
      </c>
      <c r="G381" s="334">
        <v>320288</v>
      </c>
      <c r="H381" s="334">
        <v>523226</v>
      </c>
      <c r="I381" s="334">
        <v>375103</v>
      </c>
      <c r="J381" s="402">
        <v>2131457</v>
      </c>
      <c r="K381" s="385"/>
      <c r="L381" s="177"/>
    </row>
    <row r="382" spans="2:12" ht="18" customHeight="1" x14ac:dyDescent="0.2">
      <c r="B382" s="1623" t="s">
        <v>1745</v>
      </c>
      <c r="C382" s="331" t="s">
        <v>40</v>
      </c>
      <c r="D382" s="290">
        <f t="shared" ref="D382:D410" si="18">SUM(F382/F$285,G382/G$285,H382/H$285,I382/I$285,J382/J$285)/5*100</f>
        <v>144.39806000416601</v>
      </c>
      <c r="E382" s="391"/>
      <c r="F382" s="205">
        <v>2461167</v>
      </c>
      <c r="G382" s="334">
        <v>311508</v>
      </c>
      <c r="H382" s="334">
        <v>522586</v>
      </c>
      <c r="I382" s="334">
        <v>393267</v>
      </c>
      <c r="J382" s="402">
        <v>2146048</v>
      </c>
      <c r="K382" s="385"/>
      <c r="L382" s="177"/>
    </row>
    <row r="383" spans="2:12" ht="18" customHeight="1" x14ac:dyDescent="0.25">
      <c r="B383" s="2313" t="s">
        <v>1863</v>
      </c>
      <c r="C383" s="340" t="s">
        <v>40</v>
      </c>
      <c r="D383" s="290">
        <f t="shared" si="18"/>
        <v>144.47060429707039</v>
      </c>
      <c r="E383" s="312">
        <f>2.9+0.545+0.613+0.5+2.3</f>
        <v>6.8579999999999997</v>
      </c>
      <c r="F383" s="1377">
        <v>2717315</v>
      </c>
      <c r="G383" s="1440">
        <v>273429</v>
      </c>
      <c r="H383" s="1440">
        <v>516596</v>
      </c>
      <c r="I383" s="1440">
        <v>403136</v>
      </c>
      <c r="J383" s="1382">
        <v>2153046</v>
      </c>
      <c r="K383" s="1436"/>
      <c r="L383" s="177"/>
    </row>
    <row r="384" spans="2:12" ht="18" customHeight="1" x14ac:dyDescent="0.2">
      <c r="B384" s="509" t="s">
        <v>1734</v>
      </c>
      <c r="C384" s="339" t="s">
        <v>40</v>
      </c>
      <c r="D384" s="290">
        <f t="shared" si="18"/>
        <v>145.99488199949269</v>
      </c>
      <c r="E384" s="391"/>
      <c r="F384" s="1377">
        <v>2326547</v>
      </c>
      <c r="G384" s="1440">
        <v>309595</v>
      </c>
      <c r="H384" s="1440">
        <v>550134</v>
      </c>
      <c r="I384" s="1440">
        <v>399402</v>
      </c>
      <c r="J384" s="1382">
        <v>2281717</v>
      </c>
      <c r="K384" s="1436"/>
      <c r="L384" s="177"/>
    </row>
    <row r="385" spans="2:12" ht="18" customHeight="1" x14ac:dyDescent="0.25">
      <c r="B385" s="494" t="s">
        <v>1035</v>
      </c>
      <c r="C385" s="338" t="s">
        <v>40</v>
      </c>
      <c r="D385" s="290">
        <f t="shared" si="18"/>
        <v>146.15295882193905</v>
      </c>
      <c r="E385" s="391"/>
      <c r="F385" s="194">
        <v>2386875</v>
      </c>
      <c r="G385" s="183">
        <v>306880</v>
      </c>
      <c r="H385" s="183">
        <v>561360</v>
      </c>
      <c r="I385" s="183">
        <v>395875</v>
      </c>
      <c r="J385" s="402">
        <v>2222563</v>
      </c>
      <c r="K385" s="385"/>
      <c r="L385" s="177"/>
    </row>
    <row r="386" spans="2:12" ht="18" customHeight="1" x14ac:dyDescent="0.2">
      <c r="B386" s="494" t="s">
        <v>1009</v>
      </c>
      <c r="C386" s="343"/>
      <c r="D386" s="290">
        <f t="shared" si="18"/>
        <v>146.9862785725303</v>
      </c>
      <c r="E386" s="391"/>
      <c r="F386" s="194">
        <v>2522312</v>
      </c>
      <c r="G386" s="183">
        <v>321096</v>
      </c>
      <c r="H386" s="183">
        <v>523779</v>
      </c>
      <c r="I386" s="183">
        <v>374864</v>
      </c>
      <c r="J386" s="402">
        <v>2289593</v>
      </c>
      <c r="K386" s="385"/>
      <c r="L386" s="177"/>
    </row>
    <row r="387" spans="2:12" ht="18" customHeight="1" x14ac:dyDescent="0.2">
      <c r="B387" s="494" t="s">
        <v>1100</v>
      </c>
      <c r="C387" s="201" t="s">
        <v>40</v>
      </c>
      <c r="D387" s="290">
        <f t="shared" si="18"/>
        <v>146.9779474934312</v>
      </c>
      <c r="E387" s="391"/>
      <c r="F387" s="194">
        <v>2375108</v>
      </c>
      <c r="G387" s="183">
        <v>310761</v>
      </c>
      <c r="H387" s="183">
        <v>550827</v>
      </c>
      <c r="I387" s="183">
        <v>400505</v>
      </c>
      <c r="J387" s="402">
        <v>2289617</v>
      </c>
      <c r="K387" s="385"/>
      <c r="L387" s="177"/>
    </row>
    <row r="388" spans="2:12" ht="18" customHeight="1" x14ac:dyDescent="0.25">
      <c r="B388" s="494" t="s">
        <v>1714</v>
      </c>
      <c r="C388" s="350" t="s">
        <v>40</v>
      </c>
      <c r="D388" s="290">
        <f t="shared" si="18"/>
        <v>149.51661136621459</v>
      </c>
      <c r="E388" s="391"/>
      <c r="F388" s="243">
        <v>2906734</v>
      </c>
      <c r="G388" s="214">
        <v>270708</v>
      </c>
      <c r="H388" s="214">
        <v>590487</v>
      </c>
      <c r="I388" s="214">
        <v>422711</v>
      </c>
      <c r="J388" s="402">
        <v>1969628</v>
      </c>
      <c r="K388" s="385"/>
      <c r="L388" s="177"/>
    </row>
    <row r="389" spans="2:12" ht="18" customHeight="1" x14ac:dyDescent="0.2">
      <c r="B389" s="555" t="s">
        <v>1048</v>
      </c>
      <c r="C389" s="335"/>
      <c r="D389" s="290">
        <f t="shared" si="18"/>
        <v>149.62867636941729</v>
      </c>
      <c r="E389" s="391"/>
      <c r="F389" s="243">
        <v>2536906</v>
      </c>
      <c r="G389" s="214">
        <v>287511</v>
      </c>
      <c r="H389" s="214">
        <v>610686</v>
      </c>
      <c r="I389" s="214">
        <v>429514</v>
      </c>
      <c r="J389" s="402">
        <v>2120532</v>
      </c>
      <c r="K389" s="385"/>
      <c r="L389" s="177"/>
    </row>
    <row r="390" spans="2:12" ht="18" customHeight="1" x14ac:dyDescent="0.2">
      <c r="B390" s="495" t="s">
        <v>2078</v>
      </c>
      <c r="C390" s="344"/>
      <c r="D390" s="290">
        <f t="shared" si="18"/>
        <v>151.46275178619703</v>
      </c>
      <c r="E390" s="391"/>
      <c r="F390" s="205">
        <v>2200922</v>
      </c>
      <c r="G390" s="334">
        <v>369797</v>
      </c>
      <c r="H390" s="334">
        <v>575707</v>
      </c>
      <c r="I390" s="334">
        <v>418119</v>
      </c>
      <c r="J390" s="402">
        <v>2180364</v>
      </c>
      <c r="K390" s="385"/>
      <c r="L390" s="177"/>
    </row>
    <row r="391" spans="2:12" ht="18" customHeight="1" x14ac:dyDescent="0.2">
      <c r="B391" s="497" t="s">
        <v>2079</v>
      </c>
      <c r="C391" s="335" t="s">
        <v>40</v>
      </c>
      <c r="D391" s="290">
        <f t="shared" si="18"/>
        <v>154.60322170559678</v>
      </c>
      <c r="E391" s="391"/>
      <c r="F391" s="205">
        <v>2570806</v>
      </c>
      <c r="G391" s="334">
        <v>317175</v>
      </c>
      <c r="H391" s="334">
        <v>579155</v>
      </c>
      <c r="I391" s="334">
        <v>406417</v>
      </c>
      <c r="J391" s="402">
        <v>2478012</v>
      </c>
      <c r="K391" s="385"/>
      <c r="L391" s="177"/>
    </row>
    <row r="392" spans="2:12" ht="18" customHeight="1" x14ac:dyDescent="0.25">
      <c r="B392" s="495" t="s">
        <v>1044</v>
      </c>
      <c r="C392" s="338" t="s">
        <v>40</v>
      </c>
      <c r="D392" s="290">
        <f t="shared" si="18"/>
        <v>155.36256789245647</v>
      </c>
      <c r="E392" s="391"/>
      <c r="F392" s="333">
        <v>3012209</v>
      </c>
      <c r="G392" s="330">
        <v>255862</v>
      </c>
      <c r="H392" s="183">
        <v>594414</v>
      </c>
      <c r="I392" s="183">
        <v>492453</v>
      </c>
      <c r="J392" s="402">
        <v>2076209</v>
      </c>
      <c r="K392" s="385"/>
      <c r="L392" s="177"/>
    </row>
    <row r="393" spans="2:12" ht="18" customHeight="1" x14ac:dyDescent="0.2">
      <c r="B393" s="2313" t="s">
        <v>1126</v>
      </c>
      <c r="C393" s="1588"/>
      <c r="D393" s="290">
        <f t="shared" si="18"/>
        <v>158.57421567967421</v>
      </c>
      <c r="E393" s="380"/>
      <c r="F393" s="1380">
        <v>2578698</v>
      </c>
      <c r="G393" s="1381">
        <v>345293</v>
      </c>
      <c r="H393" s="1378">
        <v>583506</v>
      </c>
      <c r="I393" s="1378">
        <v>420904</v>
      </c>
      <c r="J393" s="1382">
        <v>2473915</v>
      </c>
      <c r="K393" s="387"/>
      <c r="L393" s="177"/>
    </row>
    <row r="394" spans="2:12" ht="18" customHeight="1" x14ac:dyDescent="0.2">
      <c r="B394" s="502" t="s">
        <v>1746</v>
      </c>
      <c r="C394" s="343"/>
      <c r="D394" s="290">
        <f t="shared" si="18"/>
        <v>159.47227827835229</v>
      </c>
      <c r="E394" s="391"/>
      <c r="F394" s="205">
        <v>2791738</v>
      </c>
      <c r="G394" s="334">
        <v>358991</v>
      </c>
      <c r="H394" s="334">
        <v>531364</v>
      </c>
      <c r="I394" s="334">
        <v>390030</v>
      </c>
      <c r="J394" s="402">
        <v>2575004</v>
      </c>
      <c r="K394" s="385"/>
      <c r="L394" s="177"/>
    </row>
    <row r="395" spans="2:12" ht="18" customHeight="1" x14ac:dyDescent="0.2">
      <c r="B395" s="494" t="s">
        <v>2075</v>
      </c>
      <c r="C395" s="328"/>
      <c r="D395" s="290">
        <f t="shared" si="18"/>
        <v>162.9548278617855</v>
      </c>
      <c r="E395" s="312">
        <f>1.1+0.2+0.3+0.3+1</f>
        <v>2.9000000000000004</v>
      </c>
      <c r="F395" s="243">
        <v>2439843</v>
      </c>
      <c r="G395" s="214">
        <v>384123</v>
      </c>
      <c r="H395" s="214">
        <v>607852</v>
      </c>
      <c r="I395" s="214">
        <v>449565</v>
      </c>
      <c r="J395" s="402">
        <v>2423921</v>
      </c>
      <c r="K395" s="385"/>
      <c r="L395" s="177"/>
    </row>
    <row r="396" spans="2:12" ht="18" customHeight="1" x14ac:dyDescent="0.2">
      <c r="B396" s="1373" t="s">
        <v>1045</v>
      </c>
      <c r="C396" s="326"/>
      <c r="D396" s="290">
        <f t="shared" si="18"/>
        <v>169.78034211591319</v>
      </c>
      <c r="E396" s="391"/>
      <c r="F396" s="243">
        <v>3412748</v>
      </c>
      <c r="G396" s="214">
        <v>303589</v>
      </c>
      <c r="H396" s="214">
        <v>642291</v>
      </c>
      <c r="I396" s="214">
        <v>519155</v>
      </c>
      <c r="J396" s="402">
        <v>2079606</v>
      </c>
      <c r="K396" s="385"/>
      <c r="L396" s="177"/>
    </row>
    <row r="397" spans="2:12" ht="18" customHeight="1" x14ac:dyDescent="0.2">
      <c r="B397" s="497" t="s">
        <v>1036</v>
      </c>
      <c r="C397" s="326"/>
      <c r="D397" s="290">
        <f t="shared" si="18"/>
        <v>170.7830055401748</v>
      </c>
      <c r="E397" s="391"/>
      <c r="F397" s="243">
        <v>2901544</v>
      </c>
      <c r="G397" s="214">
        <v>365547</v>
      </c>
      <c r="H397" s="214">
        <v>607473</v>
      </c>
      <c r="I397" s="214">
        <v>441256</v>
      </c>
      <c r="J397" s="402">
        <v>2725579</v>
      </c>
      <c r="K397" s="385"/>
      <c r="L397" s="177"/>
    </row>
    <row r="398" spans="2:12" ht="18" customHeight="1" x14ac:dyDescent="0.2">
      <c r="B398" s="506" t="s">
        <v>922</v>
      </c>
      <c r="C398" s="331" t="s">
        <v>40</v>
      </c>
      <c r="D398" s="290">
        <f t="shared" si="18"/>
        <v>174.14057194845992</v>
      </c>
      <c r="E398" s="391"/>
      <c r="F398" s="243">
        <v>2596540</v>
      </c>
      <c r="G398" s="214">
        <v>448631</v>
      </c>
      <c r="H398" s="214">
        <v>631959</v>
      </c>
      <c r="I398" s="214">
        <v>458412</v>
      </c>
      <c r="J398" s="402">
        <v>2486677</v>
      </c>
      <c r="K398" s="385"/>
      <c r="L398" s="177"/>
    </row>
    <row r="399" spans="2:12" ht="18" customHeight="1" x14ac:dyDescent="0.2">
      <c r="B399" s="494" t="s">
        <v>1860</v>
      </c>
      <c r="C399" s="331" t="s">
        <v>40</v>
      </c>
      <c r="D399" s="290">
        <f t="shared" si="18"/>
        <v>177.38825819335844</v>
      </c>
      <c r="E399" s="391"/>
      <c r="F399" s="243">
        <v>3030916</v>
      </c>
      <c r="G399" s="214">
        <v>389420</v>
      </c>
      <c r="H399" s="214">
        <v>604526</v>
      </c>
      <c r="I399" s="214">
        <v>457984</v>
      </c>
      <c r="J399" s="402">
        <v>2848488</v>
      </c>
      <c r="K399" s="385"/>
      <c r="L399" s="177"/>
    </row>
    <row r="400" spans="2:12" ht="18" customHeight="1" x14ac:dyDescent="0.2">
      <c r="B400" s="494" t="s">
        <v>1861</v>
      </c>
      <c r="C400" s="335" t="s">
        <v>40</v>
      </c>
      <c r="D400" s="290">
        <f t="shared" si="18"/>
        <v>181.1636674987528</v>
      </c>
      <c r="E400" s="391"/>
      <c r="F400" s="243">
        <v>3170018</v>
      </c>
      <c r="G400" s="214">
        <v>396506</v>
      </c>
      <c r="H400" s="214">
        <v>606356</v>
      </c>
      <c r="I400" s="214">
        <v>459192</v>
      </c>
      <c r="J400" s="402">
        <v>2925934</v>
      </c>
      <c r="K400" s="385"/>
      <c r="L400" s="177"/>
    </row>
    <row r="401" spans="2:12" ht="18" customHeight="1" x14ac:dyDescent="0.2">
      <c r="B401" s="500" t="s">
        <v>1862</v>
      </c>
      <c r="C401" s="336" t="s">
        <v>40</v>
      </c>
      <c r="D401" s="290">
        <f t="shared" si="18"/>
        <v>181.2211172468173</v>
      </c>
      <c r="E401" s="312">
        <f>15.8+2.3+2.4+1.4+14.3</f>
        <v>36.200000000000003</v>
      </c>
      <c r="F401" s="243">
        <v>3174520</v>
      </c>
      <c r="G401" s="214">
        <v>397298</v>
      </c>
      <c r="H401" s="214">
        <v>606774</v>
      </c>
      <c r="I401" s="214">
        <v>456258</v>
      </c>
      <c r="J401" s="402">
        <v>2931742</v>
      </c>
      <c r="K401" s="385"/>
      <c r="L401" s="177"/>
    </row>
    <row r="402" spans="2:12" ht="18" customHeight="1" x14ac:dyDescent="0.2">
      <c r="B402" s="500" t="s">
        <v>1859</v>
      </c>
      <c r="C402" s="331" t="s">
        <v>40</v>
      </c>
      <c r="D402" s="290">
        <f t="shared" si="18"/>
        <v>181.88466739109558</v>
      </c>
      <c r="E402" s="312">
        <f>20.7+2.1+2.7+1.8+17.6</f>
        <v>44.900000000000006</v>
      </c>
      <c r="F402" s="406">
        <v>3170926</v>
      </c>
      <c r="G402" s="407">
        <v>400452</v>
      </c>
      <c r="H402" s="407">
        <v>609086</v>
      </c>
      <c r="I402" s="407">
        <v>461476</v>
      </c>
      <c r="J402" s="408">
        <v>2928282</v>
      </c>
      <c r="K402" s="387"/>
      <c r="L402" s="177"/>
    </row>
    <row r="403" spans="2:12" ht="18" customHeight="1" x14ac:dyDescent="0.2">
      <c r="B403" s="500" t="s">
        <v>1907</v>
      </c>
      <c r="C403" s="335"/>
      <c r="D403" s="290">
        <f t="shared" si="18"/>
        <v>194.53942633754369</v>
      </c>
      <c r="E403" s="312">
        <f>93.12+10.53+34.06+10.91+80.2</f>
        <v>228.82</v>
      </c>
      <c r="F403" s="243">
        <v>3208794</v>
      </c>
      <c r="G403" s="214">
        <v>339371</v>
      </c>
      <c r="H403" s="214">
        <v>769106</v>
      </c>
      <c r="I403" s="214">
        <v>596037</v>
      </c>
      <c r="J403" s="402">
        <v>3036704</v>
      </c>
      <c r="K403" s="385"/>
      <c r="L403" s="177"/>
    </row>
    <row r="404" spans="2:12" ht="18" customHeight="1" x14ac:dyDescent="0.2">
      <c r="B404" s="504" t="s">
        <v>1025</v>
      </c>
      <c r="C404" s="335" t="s">
        <v>40</v>
      </c>
      <c r="D404" s="290">
        <f t="shared" si="18"/>
        <v>201.03076158750662</v>
      </c>
      <c r="E404" s="391"/>
      <c r="F404" s="243">
        <v>3987099</v>
      </c>
      <c r="G404" s="214">
        <v>409476</v>
      </c>
      <c r="H404" s="214">
        <v>593245</v>
      </c>
      <c r="I404" s="214">
        <v>505681</v>
      </c>
      <c r="J404" s="402">
        <v>3333799</v>
      </c>
      <c r="K404" s="385"/>
      <c r="L404" s="177"/>
    </row>
    <row r="405" spans="2:12" ht="18" customHeight="1" x14ac:dyDescent="0.2">
      <c r="B405" s="510" t="s">
        <v>953</v>
      </c>
      <c r="C405" s="329" t="s">
        <v>40</v>
      </c>
      <c r="D405" s="290">
        <f t="shared" si="18"/>
        <v>207.55807247404533</v>
      </c>
      <c r="E405" s="391"/>
      <c r="F405" s="243">
        <v>3819132</v>
      </c>
      <c r="G405" s="214">
        <v>464149</v>
      </c>
      <c r="H405" s="214">
        <v>656985</v>
      </c>
      <c r="I405" s="214">
        <v>498971</v>
      </c>
      <c r="J405" s="402">
        <v>3363888</v>
      </c>
      <c r="K405" s="385"/>
      <c r="L405" s="177"/>
    </row>
    <row r="406" spans="2:12" ht="18" customHeight="1" x14ac:dyDescent="0.2">
      <c r="B406" s="497" t="s">
        <v>1736</v>
      </c>
      <c r="C406" s="339"/>
      <c r="D406" s="290">
        <f t="shared" si="18"/>
        <v>215.11123851638146</v>
      </c>
      <c r="E406" s="391"/>
      <c r="F406" s="243">
        <v>3899179</v>
      </c>
      <c r="G406" s="214">
        <v>491016</v>
      </c>
      <c r="H406" s="214">
        <v>688705</v>
      </c>
      <c r="I406" s="214">
        <v>525320</v>
      </c>
      <c r="J406" s="402">
        <v>3401165</v>
      </c>
      <c r="K406" s="385"/>
      <c r="L406" s="177"/>
    </row>
    <row r="407" spans="2:12" ht="18" customHeight="1" x14ac:dyDescent="0.2">
      <c r="B407" s="495" t="s">
        <v>1050</v>
      </c>
      <c r="C407" s="331"/>
      <c r="D407" s="290">
        <f t="shared" si="18"/>
        <v>215.78995406868069</v>
      </c>
      <c r="E407" s="391"/>
      <c r="F407" s="243">
        <v>3951722</v>
      </c>
      <c r="G407" s="214">
        <v>502377</v>
      </c>
      <c r="H407" s="214">
        <v>664516</v>
      </c>
      <c r="I407" s="214">
        <v>506801</v>
      </c>
      <c r="J407" s="402">
        <v>3497948</v>
      </c>
      <c r="K407" s="385"/>
      <c r="L407" s="177"/>
    </row>
    <row r="408" spans="2:12" ht="18" customHeight="1" x14ac:dyDescent="0.2">
      <c r="B408" s="2313" t="s">
        <v>1125</v>
      </c>
      <c r="C408" s="409"/>
      <c r="D408" s="290">
        <f t="shared" si="18"/>
        <v>227.50025008703489</v>
      </c>
      <c r="E408" s="391"/>
      <c r="F408" s="243">
        <v>4404370</v>
      </c>
      <c r="G408" s="214">
        <v>527127</v>
      </c>
      <c r="H408" s="214">
        <v>667525</v>
      </c>
      <c r="I408" s="214">
        <v>508358</v>
      </c>
      <c r="J408" s="402">
        <v>3716216</v>
      </c>
      <c r="K408" s="385"/>
      <c r="L408" s="177"/>
    </row>
    <row r="409" spans="2:12" ht="18" customHeight="1" x14ac:dyDescent="0.2">
      <c r="B409" s="509" t="s">
        <v>1135</v>
      </c>
      <c r="C409" s="201"/>
      <c r="D409" s="290">
        <f t="shared" si="18"/>
        <v>249.6298830720142</v>
      </c>
      <c r="E409" s="391"/>
      <c r="F409" s="243">
        <v>4718613</v>
      </c>
      <c r="G409" s="214">
        <v>564603</v>
      </c>
      <c r="H409" s="214">
        <v>775877</v>
      </c>
      <c r="I409" s="214">
        <v>568092</v>
      </c>
      <c r="J409" s="402">
        <v>4075967</v>
      </c>
      <c r="K409" s="385"/>
      <c r="L409" s="177"/>
    </row>
    <row r="410" spans="2:12" ht="18" customHeight="1" x14ac:dyDescent="0.2">
      <c r="B410" s="497" t="s">
        <v>1137</v>
      </c>
      <c r="C410" s="405"/>
      <c r="D410" s="290">
        <f t="shared" si="18"/>
        <v>253.4888254489025</v>
      </c>
      <c r="E410" s="391"/>
      <c r="F410" s="243">
        <v>4767812</v>
      </c>
      <c r="G410" s="214">
        <v>378889</v>
      </c>
      <c r="H410" s="214">
        <v>1049830</v>
      </c>
      <c r="I410" s="214">
        <v>675448</v>
      </c>
      <c r="J410" s="402">
        <v>4111153</v>
      </c>
      <c r="K410" s="385"/>
      <c r="L410" s="177"/>
    </row>
    <row r="411" spans="2:12" ht="18" customHeight="1" x14ac:dyDescent="0.2">
      <c r="B411" s="502" t="s">
        <v>1123</v>
      </c>
      <c r="C411" s="344"/>
      <c r="D411" s="290">
        <f t="shared" ref="D411:D421" si="19">SUM(F411/F$285,G411/G$285,H411/H$285,I411/I$285,J411/J$285)/5*100</f>
        <v>270.21628439234087</v>
      </c>
      <c r="E411" s="391"/>
      <c r="F411" s="243">
        <v>4787991</v>
      </c>
      <c r="G411" s="214">
        <v>608162</v>
      </c>
      <c r="H411" s="214">
        <v>909217</v>
      </c>
      <c r="I411" s="214">
        <v>672889</v>
      </c>
      <c r="J411" s="402">
        <v>4211580</v>
      </c>
      <c r="K411" s="385"/>
      <c r="L411" s="177"/>
    </row>
    <row r="412" spans="2:12" ht="18" customHeight="1" x14ac:dyDescent="0.2">
      <c r="B412" s="511" t="s">
        <v>1121</v>
      </c>
      <c r="C412" s="335"/>
      <c r="D412" s="290">
        <f t="shared" si="19"/>
        <v>288.52002880270106</v>
      </c>
      <c r="E412" s="391"/>
      <c r="F412" s="243">
        <v>4974961</v>
      </c>
      <c r="G412" s="214">
        <v>687510</v>
      </c>
      <c r="H412" s="214">
        <v>951689</v>
      </c>
      <c r="I412" s="214">
        <v>721198</v>
      </c>
      <c r="J412" s="402">
        <v>4414336</v>
      </c>
      <c r="K412" s="385"/>
      <c r="L412" s="177"/>
    </row>
    <row r="413" spans="2:12" ht="18" customHeight="1" x14ac:dyDescent="0.2">
      <c r="B413" s="495" t="s">
        <v>1131</v>
      </c>
      <c r="C413" s="337"/>
      <c r="D413" s="290">
        <f t="shared" si="19"/>
        <v>291.49849715234996</v>
      </c>
      <c r="E413" s="391"/>
      <c r="F413" s="243">
        <v>5325868</v>
      </c>
      <c r="G413" s="214">
        <v>729258</v>
      </c>
      <c r="H413" s="214">
        <v>845962</v>
      </c>
      <c r="I413" s="214">
        <v>678858</v>
      </c>
      <c r="J413" s="402">
        <v>4590443</v>
      </c>
      <c r="K413" s="385"/>
      <c r="L413" s="177"/>
    </row>
    <row r="414" spans="2:12" ht="18" customHeight="1" x14ac:dyDescent="0.2">
      <c r="B414" s="495" t="s">
        <v>1130</v>
      </c>
      <c r="C414" s="337"/>
      <c r="D414" s="290">
        <f t="shared" si="19"/>
        <v>292.04687628054302</v>
      </c>
      <c r="E414" s="391"/>
      <c r="F414" s="243">
        <v>5333938</v>
      </c>
      <c r="G414" s="214">
        <v>730786</v>
      </c>
      <c r="H414" s="214">
        <v>846927</v>
      </c>
      <c r="I414" s="214">
        <v>680708</v>
      </c>
      <c r="J414" s="402">
        <v>4599774</v>
      </c>
      <c r="K414" s="385"/>
      <c r="L414" s="177"/>
    </row>
    <row r="415" spans="2:12" ht="18" customHeight="1" x14ac:dyDescent="0.2">
      <c r="B415" s="495" t="s">
        <v>1132</v>
      </c>
      <c r="C415" s="328"/>
      <c r="D415" s="290">
        <f t="shared" si="19"/>
        <v>293.45088889176401</v>
      </c>
      <c r="E415" s="391"/>
      <c r="F415" s="243">
        <v>5300576</v>
      </c>
      <c r="G415" s="214">
        <v>730913</v>
      </c>
      <c r="H415" s="183">
        <v>838340</v>
      </c>
      <c r="I415" s="183">
        <v>682557</v>
      </c>
      <c r="J415" s="402">
        <v>4767416</v>
      </c>
      <c r="K415" s="385"/>
      <c r="L415" s="177"/>
    </row>
    <row r="416" spans="2:12" ht="18" customHeight="1" x14ac:dyDescent="0.25">
      <c r="B416" s="508" t="s">
        <v>1122</v>
      </c>
      <c r="C416" s="410" t="s">
        <v>40</v>
      </c>
      <c r="D416" s="290">
        <f t="shared" si="19"/>
        <v>296.95137030061505</v>
      </c>
      <c r="E416" s="391"/>
      <c r="F416" s="243">
        <v>5483264</v>
      </c>
      <c r="G416" s="352">
        <v>748286</v>
      </c>
      <c r="H416" s="411">
        <v>841317</v>
      </c>
      <c r="I416" s="411">
        <v>679972</v>
      </c>
      <c r="J416" s="403">
        <v>4713305</v>
      </c>
      <c r="K416" s="387"/>
      <c r="L416" s="177"/>
    </row>
    <row r="417" spans="2:12" ht="18" customHeight="1" x14ac:dyDescent="0.2">
      <c r="B417" s="500" t="s">
        <v>1138</v>
      </c>
      <c r="C417" s="328"/>
      <c r="D417" s="290">
        <f t="shared" si="19"/>
        <v>333.49990875159784</v>
      </c>
      <c r="E417" s="391"/>
      <c r="F417" s="243">
        <v>5512704</v>
      </c>
      <c r="G417" s="214">
        <v>1063424</v>
      </c>
      <c r="H417" s="183">
        <v>1063424</v>
      </c>
      <c r="I417" s="183">
        <v>686080</v>
      </c>
      <c r="J417" s="402">
        <v>4148224</v>
      </c>
      <c r="K417" s="385"/>
      <c r="L417" s="177"/>
    </row>
    <row r="418" spans="2:12" ht="18" customHeight="1" x14ac:dyDescent="0.2">
      <c r="B418" s="495" t="s">
        <v>1124</v>
      </c>
      <c r="C418" s="343"/>
      <c r="D418" s="290">
        <f t="shared" si="19"/>
        <v>335.32017273148716</v>
      </c>
      <c r="E418" s="391"/>
      <c r="F418" s="243">
        <v>5675075</v>
      </c>
      <c r="G418" s="214">
        <v>1048594</v>
      </c>
      <c r="H418" s="214">
        <v>871600</v>
      </c>
      <c r="I418" s="214">
        <v>710961</v>
      </c>
      <c r="J418" s="402">
        <v>4897091</v>
      </c>
      <c r="K418" s="385"/>
      <c r="L418" s="177"/>
    </row>
    <row r="419" spans="2:12" ht="18" customHeight="1" x14ac:dyDescent="0.2">
      <c r="B419" s="508" t="s">
        <v>1127</v>
      </c>
      <c r="C419" s="344"/>
      <c r="D419" s="290">
        <f t="shared" si="19"/>
        <v>336.35343555029988</v>
      </c>
      <c r="E419" s="391"/>
      <c r="F419" s="243">
        <v>5463065</v>
      </c>
      <c r="G419" s="214">
        <v>1048596</v>
      </c>
      <c r="H419" s="183">
        <v>1048596</v>
      </c>
      <c r="I419" s="183">
        <v>674518</v>
      </c>
      <c r="J419" s="402">
        <v>4646420</v>
      </c>
      <c r="K419" s="385"/>
      <c r="L419" s="177"/>
    </row>
    <row r="420" spans="2:12" ht="18" customHeight="1" x14ac:dyDescent="0.2">
      <c r="B420" s="500" t="s">
        <v>1134</v>
      </c>
      <c r="C420" s="409"/>
      <c r="D420" s="290">
        <f t="shared" si="19"/>
        <v>336.77819694688867</v>
      </c>
      <c r="E420" s="391"/>
      <c r="F420" s="243">
        <v>5470987</v>
      </c>
      <c r="G420" s="214">
        <v>1049830</v>
      </c>
      <c r="H420" s="183">
        <v>1049830</v>
      </c>
      <c r="I420" s="183">
        <v>675448</v>
      </c>
      <c r="J420" s="402">
        <v>4651910</v>
      </c>
      <c r="K420" s="385"/>
      <c r="L420" s="177"/>
    </row>
    <row r="421" spans="2:12" ht="18" customHeight="1" x14ac:dyDescent="0.2">
      <c r="B421" s="497" t="s">
        <v>1133</v>
      </c>
      <c r="C421" s="335"/>
      <c r="D421" s="290">
        <f t="shared" si="19"/>
        <v>341.3245807355824</v>
      </c>
      <c r="E421" s="391"/>
      <c r="F421" s="243">
        <v>6341324</v>
      </c>
      <c r="G421" s="214">
        <v>871594</v>
      </c>
      <c r="H421" s="183">
        <v>934004</v>
      </c>
      <c r="I421" s="183">
        <v>777450</v>
      </c>
      <c r="J421" s="402">
        <v>5444052</v>
      </c>
      <c r="K421" s="385"/>
      <c r="L421" s="177"/>
    </row>
    <row r="422" spans="2:12" ht="18" customHeight="1" x14ac:dyDescent="0.2">
      <c r="B422" s="519" t="s">
        <v>1029</v>
      </c>
      <c r="C422" s="341"/>
      <c r="D422" s="412"/>
      <c r="E422" s="391"/>
      <c r="F422" s="355" t="s">
        <v>529</v>
      </c>
      <c r="G422" s="214">
        <v>1049988</v>
      </c>
      <c r="H422" s="214">
        <v>720528</v>
      </c>
      <c r="I422" s="356" t="s">
        <v>529</v>
      </c>
      <c r="J422" s="413" t="s">
        <v>529</v>
      </c>
      <c r="K422" s="385"/>
      <c r="L422" s="177"/>
    </row>
    <row r="423" spans="2:12" ht="18" customHeight="1" x14ac:dyDescent="0.2">
      <c r="B423" s="494" t="s">
        <v>530</v>
      </c>
      <c r="C423" s="345"/>
      <c r="D423" s="412"/>
      <c r="E423" s="391"/>
      <c r="F423" s="355" t="s">
        <v>482</v>
      </c>
      <c r="G423" s="356" t="s">
        <v>482</v>
      </c>
      <c r="H423" s="356" t="s">
        <v>482</v>
      </c>
      <c r="I423" s="356" t="s">
        <v>482</v>
      </c>
      <c r="J423" s="413" t="s">
        <v>482</v>
      </c>
      <c r="K423" s="385"/>
      <c r="L423" s="177"/>
    </row>
    <row r="424" spans="2:12" ht="18" customHeight="1" x14ac:dyDescent="0.2">
      <c r="B424" s="513" t="s">
        <v>483</v>
      </c>
      <c r="C424" s="331" t="s">
        <v>40</v>
      </c>
      <c r="D424" s="412"/>
      <c r="E424" s="391"/>
      <c r="F424" s="243">
        <v>2820529</v>
      </c>
      <c r="G424" s="214">
        <v>311158</v>
      </c>
      <c r="H424" s="214">
        <v>511721</v>
      </c>
      <c r="I424" s="214">
        <v>405694</v>
      </c>
      <c r="J424" s="413" t="s">
        <v>446</v>
      </c>
      <c r="K424" s="385"/>
      <c r="L424" s="177"/>
    </row>
    <row r="425" spans="2:12" ht="18" customHeight="1" x14ac:dyDescent="0.2">
      <c r="B425" s="506" t="s">
        <v>586</v>
      </c>
      <c r="C425" s="345"/>
      <c r="D425" s="412"/>
      <c r="E425" s="391"/>
      <c r="F425" s="355" t="s">
        <v>482</v>
      </c>
      <c r="G425" s="356" t="s">
        <v>482</v>
      </c>
      <c r="H425" s="356" t="s">
        <v>482</v>
      </c>
      <c r="I425" s="356" t="s">
        <v>482</v>
      </c>
      <c r="J425" s="413" t="s">
        <v>482</v>
      </c>
      <c r="K425" s="385"/>
      <c r="L425" s="177"/>
    </row>
    <row r="426" spans="2:12" ht="18" customHeight="1" x14ac:dyDescent="0.2">
      <c r="B426" s="494" t="s">
        <v>561</v>
      </c>
      <c r="C426" s="1587"/>
      <c r="D426" s="412"/>
      <c r="E426" s="391"/>
      <c r="F426" s="355" t="s">
        <v>482</v>
      </c>
      <c r="G426" s="356" t="s">
        <v>482</v>
      </c>
      <c r="H426" s="356" t="s">
        <v>482</v>
      </c>
      <c r="I426" s="356" t="s">
        <v>482</v>
      </c>
      <c r="J426" s="413" t="s">
        <v>482</v>
      </c>
      <c r="K426" s="385"/>
      <c r="L426" s="177"/>
    </row>
    <row r="427" spans="2:12" ht="18" customHeight="1" x14ac:dyDescent="0.2">
      <c r="B427" s="494" t="s">
        <v>1747</v>
      </c>
      <c r="C427" s="345"/>
      <c r="D427" s="412"/>
      <c r="E427" s="391"/>
      <c r="F427" s="355" t="s">
        <v>482</v>
      </c>
      <c r="G427" s="356" t="s">
        <v>482</v>
      </c>
      <c r="H427" s="356" t="s">
        <v>482</v>
      </c>
      <c r="I427" s="356" t="s">
        <v>482</v>
      </c>
      <c r="J427" s="413" t="s">
        <v>482</v>
      </c>
      <c r="K427" s="414"/>
      <c r="L427" s="415"/>
    </row>
    <row r="428" spans="2:12" ht="18" customHeight="1" x14ac:dyDescent="0.2">
      <c r="B428" s="1583" t="s">
        <v>1185</v>
      </c>
      <c r="C428" s="331"/>
      <c r="D428" s="412"/>
      <c r="E428" s="391"/>
      <c r="F428" s="355" t="s">
        <v>446</v>
      </c>
      <c r="G428" s="356" t="s">
        <v>446</v>
      </c>
      <c r="H428" s="356" t="s">
        <v>446</v>
      </c>
      <c r="I428" s="356" t="s">
        <v>446</v>
      </c>
      <c r="J428" s="413" t="s">
        <v>446</v>
      </c>
      <c r="K428" s="414"/>
      <c r="L428" s="415"/>
    </row>
    <row r="429" spans="2:12" ht="18" customHeight="1" x14ac:dyDescent="0.2">
      <c r="B429" s="494" t="s">
        <v>2071</v>
      </c>
      <c r="C429" s="1586"/>
      <c r="D429" s="412"/>
      <c r="E429" s="391"/>
      <c r="F429" s="355" t="s">
        <v>482</v>
      </c>
      <c r="G429" s="356" t="s">
        <v>482</v>
      </c>
      <c r="H429" s="356" t="s">
        <v>482</v>
      </c>
      <c r="I429" s="356" t="s">
        <v>482</v>
      </c>
      <c r="J429" s="413" t="s">
        <v>482</v>
      </c>
      <c r="K429" s="414"/>
      <c r="L429" s="415"/>
    </row>
    <row r="430" spans="2:12" ht="18" customHeight="1" x14ac:dyDescent="0.2">
      <c r="B430" s="1585" t="s">
        <v>1049</v>
      </c>
      <c r="C430" s="326"/>
      <c r="D430" s="412"/>
      <c r="E430" s="391"/>
      <c r="F430" s="355" t="s">
        <v>1047</v>
      </c>
      <c r="G430" s="356" t="s">
        <v>1047</v>
      </c>
      <c r="H430" s="356" t="s">
        <v>1047</v>
      </c>
      <c r="I430" s="356" t="s">
        <v>1047</v>
      </c>
      <c r="J430" s="413" t="s">
        <v>1047</v>
      </c>
      <c r="K430" s="414"/>
      <c r="L430" s="415"/>
    </row>
    <row r="431" spans="2:12" ht="18" customHeight="1" x14ac:dyDescent="0.2">
      <c r="B431" s="1376" t="s">
        <v>1748</v>
      </c>
      <c r="C431" s="307" t="s">
        <v>40</v>
      </c>
      <c r="D431" s="416"/>
      <c r="E431" s="391"/>
      <c r="F431" s="355" t="s">
        <v>482</v>
      </c>
      <c r="G431" s="356" t="s">
        <v>482</v>
      </c>
      <c r="H431" s="356" t="s">
        <v>482</v>
      </c>
      <c r="I431" s="356" t="s">
        <v>482</v>
      </c>
      <c r="J431" s="413" t="s">
        <v>482</v>
      </c>
      <c r="K431" s="417"/>
      <c r="L431" s="415"/>
    </row>
    <row r="432" spans="2:12" ht="18" customHeight="1" x14ac:dyDescent="0.2">
      <c r="B432" s="504" t="s">
        <v>1728</v>
      </c>
      <c r="C432" s="307" t="s">
        <v>40</v>
      </c>
      <c r="D432" s="416"/>
      <c r="E432" s="391"/>
      <c r="F432" s="355" t="s">
        <v>482</v>
      </c>
      <c r="G432" s="356" t="s">
        <v>482</v>
      </c>
      <c r="H432" s="356" t="s">
        <v>482</v>
      </c>
      <c r="I432" s="356" t="s">
        <v>482</v>
      </c>
      <c r="J432" s="413" t="s">
        <v>482</v>
      </c>
      <c r="K432" s="417"/>
      <c r="L432" s="415"/>
    </row>
    <row r="433" spans="2:12" ht="18" customHeight="1" x14ac:dyDescent="0.2">
      <c r="B433" s="504" t="s">
        <v>1731</v>
      </c>
      <c r="C433" s="201" t="s">
        <v>40</v>
      </c>
      <c r="D433" s="418"/>
      <c r="E433" s="391"/>
      <c r="F433" s="355" t="s">
        <v>482</v>
      </c>
      <c r="G433" s="356" t="s">
        <v>482</v>
      </c>
      <c r="H433" s="356" t="s">
        <v>482</v>
      </c>
      <c r="I433" s="356" t="s">
        <v>482</v>
      </c>
      <c r="J433" s="413" t="s">
        <v>482</v>
      </c>
      <c r="K433" s="414"/>
      <c r="L433" s="415"/>
    </row>
    <row r="434" spans="2:12" ht="18" customHeight="1" x14ac:dyDescent="0.2">
      <c r="B434" s="494" t="s">
        <v>1735</v>
      </c>
      <c r="C434" s="201" t="s">
        <v>40</v>
      </c>
      <c r="D434" s="412"/>
      <c r="E434" s="391"/>
      <c r="F434" s="355" t="s">
        <v>482</v>
      </c>
      <c r="G434" s="356" t="s">
        <v>482</v>
      </c>
      <c r="H434" s="356" t="s">
        <v>482</v>
      </c>
      <c r="I434" s="356" t="s">
        <v>482</v>
      </c>
      <c r="J434" s="413" t="s">
        <v>482</v>
      </c>
      <c r="K434" s="414"/>
      <c r="L434" s="415"/>
    </row>
    <row r="435" spans="2:12" ht="18" customHeight="1" x14ac:dyDescent="0.2">
      <c r="B435" s="505" t="s">
        <v>1749</v>
      </c>
      <c r="C435" s="405"/>
      <c r="D435" s="412"/>
      <c r="E435" s="391"/>
      <c r="F435" s="355" t="s">
        <v>482</v>
      </c>
      <c r="G435" s="356" t="s">
        <v>482</v>
      </c>
      <c r="H435" s="356" t="s">
        <v>482</v>
      </c>
      <c r="I435" s="356" t="s">
        <v>482</v>
      </c>
      <c r="J435" s="413" t="s">
        <v>482</v>
      </c>
      <c r="K435" s="414"/>
      <c r="L435" s="415"/>
    </row>
    <row r="436" spans="2:12" ht="18" customHeight="1" x14ac:dyDescent="0.2">
      <c r="B436" s="495" t="s">
        <v>1751</v>
      </c>
      <c r="C436" s="343"/>
      <c r="D436" s="412"/>
      <c r="E436" s="391"/>
      <c r="F436" s="355" t="s">
        <v>482</v>
      </c>
      <c r="G436" s="356" t="s">
        <v>482</v>
      </c>
      <c r="H436" s="356" t="s">
        <v>482</v>
      </c>
      <c r="I436" s="356" t="s">
        <v>482</v>
      </c>
      <c r="J436" s="413" t="s">
        <v>482</v>
      </c>
      <c r="K436" s="385"/>
      <c r="L436" s="177"/>
    </row>
    <row r="437" spans="2:12" ht="18" customHeight="1" x14ac:dyDescent="0.2">
      <c r="B437" s="495" t="s">
        <v>1750</v>
      </c>
      <c r="C437" s="343"/>
      <c r="D437" s="412"/>
      <c r="E437" s="391"/>
      <c r="F437" s="355" t="s">
        <v>482</v>
      </c>
      <c r="G437" s="356" t="s">
        <v>482</v>
      </c>
      <c r="H437" s="356" t="s">
        <v>482</v>
      </c>
      <c r="I437" s="356" t="s">
        <v>482</v>
      </c>
      <c r="J437" s="413" t="s">
        <v>482</v>
      </c>
      <c r="K437" s="385"/>
      <c r="L437" s="177"/>
    </row>
    <row r="438" spans="2:12" ht="18" customHeight="1" x14ac:dyDescent="0.25">
      <c r="B438" s="516" t="s">
        <v>1046</v>
      </c>
      <c r="C438" s="338"/>
      <c r="D438" s="412"/>
      <c r="E438" s="391"/>
      <c r="F438" s="355" t="s">
        <v>1047</v>
      </c>
      <c r="G438" s="356" t="s">
        <v>1047</v>
      </c>
      <c r="H438" s="356" t="s">
        <v>1047</v>
      </c>
      <c r="I438" s="356" t="s">
        <v>1047</v>
      </c>
      <c r="J438" s="413" t="s">
        <v>1047</v>
      </c>
      <c r="K438" s="419"/>
      <c r="L438" s="229"/>
    </row>
    <row r="439" spans="2:12" ht="18" customHeight="1" x14ac:dyDescent="0.2">
      <c r="B439" s="1584" t="s">
        <v>1715</v>
      </c>
      <c r="C439" s="1587"/>
      <c r="D439" s="420"/>
      <c r="E439" s="391"/>
      <c r="F439" s="355" t="s">
        <v>482</v>
      </c>
      <c r="G439" s="356" t="s">
        <v>482</v>
      </c>
      <c r="H439" s="356" t="s">
        <v>482</v>
      </c>
      <c r="I439" s="356" t="s">
        <v>482</v>
      </c>
      <c r="J439" s="413" t="s">
        <v>482</v>
      </c>
      <c r="K439" s="419"/>
      <c r="L439" s="229"/>
    </row>
    <row r="440" spans="2:12" ht="18" customHeight="1" x14ac:dyDescent="0.2">
      <c r="B440" s="520" t="s">
        <v>1716</v>
      </c>
      <c r="C440" s="344"/>
      <c r="D440" s="421"/>
      <c r="E440" s="422"/>
      <c r="F440" s="355" t="s">
        <v>482</v>
      </c>
      <c r="G440" s="356" t="s">
        <v>482</v>
      </c>
      <c r="H440" s="356" t="s">
        <v>482</v>
      </c>
      <c r="I440" s="356" t="s">
        <v>482</v>
      </c>
      <c r="J440" s="413" t="s">
        <v>482</v>
      </c>
      <c r="K440" s="419"/>
      <c r="L440" s="229"/>
    </row>
    <row r="441" spans="2:12" ht="18" customHeight="1" x14ac:dyDescent="0.2">
      <c r="B441" s="3156"/>
      <c r="C441" s="3157"/>
      <c r="D441" s="3155"/>
      <c r="E441" s="3158"/>
      <c r="F441" s="229"/>
      <c r="G441" s="229"/>
      <c r="H441" s="229"/>
      <c r="I441" s="229"/>
      <c r="J441" s="229"/>
      <c r="K441" s="229"/>
      <c r="L441" s="229"/>
    </row>
    <row r="442" spans="2:12" ht="18" customHeight="1" x14ac:dyDescent="0.2">
      <c r="B442" s="140" t="s">
        <v>2744</v>
      </c>
      <c r="C442" s="227"/>
      <c r="D442" s="227"/>
      <c r="E442" s="227"/>
      <c r="F442" s="228"/>
      <c r="G442" s="228"/>
      <c r="H442" s="228"/>
      <c r="I442" s="229"/>
      <c r="J442" s="229"/>
      <c r="K442" s="229"/>
      <c r="L442" s="229"/>
    </row>
    <row r="443" spans="2:12" ht="15.75" x14ac:dyDescent="0.2">
      <c r="B443" s="140" t="s">
        <v>2745</v>
      </c>
      <c r="C443" s="227"/>
      <c r="D443" s="227"/>
      <c r="E443" s="227"/>
      <c r="F443" s="228"/>
      <c r="G443" s="228"/>
      <c r="H443" s="228"/>
      <c r="I443" s="229"/>
      <c r="J443" s="229"/>
      <c r="K443" s="229"/>
      <c r="L443" s="229"/>
    </row>
    <row r="444" spans="2:12" ht="15.75" x14ac:dyDescent="0.2">
      <c r="B444" s="142" t="s">
        <v>2749</v>
      </c>
      <c r="C444" s="227"/>
      <c r="D444" s="227"/>
      <c r="E444" s="227"/>
      <c r="F444" s="228"/>
      <c r="G444" s="228"/>
      <c r="H444" s="228"/>
      <c r="I444" s="229"/>
      <c r="J444" s="229"/>
      <c r="K444" s="229"/>
      <c r="L444" s="229"/>
    </row>
    <row r="445" spans="2:12" ht="15.75" x14ac:dyDescent="0.2">
      <c r="B445" s="140" t="s">
        <v>2750</v>
      </c>
      <c r="C445" s="227"/>
      <c r="D445" s="227"/>
      <c r="E445" s="227"/>
      <c r="F445" s="228"/>
      <c r="G445" s="228"/>
      <c r="H445" s="228"/>
      <c r="I445" s="229"/>
      <c r="J445" s="229"/>
      <c r="K445" s="4932">
        <f>(0.25/100*19)-0.25</f>
        <v>-0.20250000000000001</v>
      </c>
      <c r="L445" s="229"/>
    </row>
    <row r="446" spans="2:12" ht="15.75" x14ac:dyDescent="0.2">
      <c r="B446" s="142"/>
    </row>
    <row r="447" spans="2:12" ht="18" customHeight="1" x14ac:dyDescent="0.2"/>
    <row r="448" spans="2:12" ht="18" customHeight="1" x14ac:dyDescent="0.2"/>
    <row r="449" spans="2:12" ht="18" customHeight="1" x14ac:dyDescent="0.25">
      <c r="B449" s="3159" t="s">
        <v>2528</v>
      </c>
      <c r="C449" s="282"/>
      <c r="D449" s="4988" t="s">
        <v>1320</v>
      </c>
      <c r="E449" s="4991" t="s">
        <v>1603</v>
      </c>
      <c r="F449" s="1619" t="s">
        <v>2530</v>
      </c>
      <c r="G449" s="1619" t="s">
        <v>2531</v>
      </c>
      <c r="H449" s="1619" t="s">
        <v>2532</v>
      </c>
      <c r="I449" s="1619" t="s">
        <v>2533</v>
      </c>
      <c r="J449" s="1619" t="s">
        <v>2534</v>
      </c>
      <c r="K449" s="1619" t="s">
        <v>2535</v>
      </c>
      <c r="L449" s="1619" t="s">
        <v>2546</v>
      </c>
    </row>
    <row r="450" spans="2:12" ht="23.25" x14ac:dyDescent="0.2">
      <c r="B450" s="1591" t="s">
        <v>2529</v>
      </c>
      <c r="C450" s="148"/>
      <c r="D450" s="4989"/>
      <c r="E450" s="4992"/>
      <c r="F450" s="1610" t="s">
        <v>2536</v>
      </c>
      <c r="G450" s="1610" t="s">
        <v>2536</v>
      </c>
      <c r="H450" s="1610" t="s">
        <v>2536</v>
      </c>
      <c r="I450" s="1610" t="s">
        <v>2550</v>
      </c>
      <c r="J450" s="1610" t="s">
        <v>2536</v>
      </c>
      <c r="K450" s="1610" t="s">
        <v>2536</v>
      </c>
      <c r="L450" s="1610" t="s">
        <v>2537</v>
      </c>
    </row>
    <row r="451" spans="2:12" ht="15.75" x14ac:dyDescent="0.2">
      <c r="B451" s="285" t="s">
        <v>2544</v>
      </c>
      <c r="C451" s="148"/>
      <c r="D451" s="4989"/>
      <c r="E451" s="4992"/>
      <c r="F451" s="1611" t="s">
        <v>2539</v>
      </c>
      <c r="G451" s="1611" t="s">
        <v>2540</v>
      </c>
      <c r="H451" s="1611" t="s">
        <v>2541</v>
      </c>
      <c r="I451" s="1611" t="s">
        <v>2542</v>
      </c>
      <c r="J451" s="1611" t="s">
        <v>2543</v>
      </c>
      <c r="K451" s="1611" t="s">
        <v>2547</v>
      </c>
      <c r="L451" s="1611" t="s">
        <v>2538</v>
      </c>
    </row>
    <row r="452" spans="2:12" ht="15.75" x14ac:dyDescent="0.2">
      <c r="B452" s="3161" t="s">
        <v>2545</v>
      </c>
      <c r="C452" s="286"/>
      <c r="D452" s="4989"/>
      <c r="E452" s="4992"/>
      <c r="F452" s="3167" t="s">
        <v>2548</v>
      </c>
      <c r="G452" s="3167" t="s">
        <v>2548</v>
      </c>
      <c r="H452" s="3167" t="s">
        <v>2548</v>
      </c>
      <c r="I452" s="3167" t="s">
        <v>2548</v>
      </c>
      <c r="J452" s="3167" t="s">
        <v>2548</v>
      </c>
      <c r="K452" s="3167" t="s">
        <v>2548</v>
      </c>
      <c r="L452" s="3167" t="s">
        <v>2548</v>
      </c>
    </row>
    <row r="453" spans="2:12" ht="15.75" x14ac:dyDescent="0.2">
      <c r="B453" s="1547" t="s">
        <v>1877</v>
      </c>
      <c r="C453" s="3160"/>
      <c r="D453" s="4990"/>
      <c r="E453" s="4993"/>
      <c r="F453" s="3247" t="s">
        <v>2549</v>
      </c>
      <c r="G453" s="3247" t="s">
        <v>2549</v>
      </c>
      <c r="H453" s="3247" t="s">
        <v>2549</v>
      </c>
      <c r="I453" s="3247" t="s">
        <v>2549</v>
      </c>
      <c r="J453" s="3247" t="s">
        <v>2549</v>
      </c>
      <c r="K453" s="3247" t="s">
        <v>2549</v>
      </c>
      <c r="L453" s="3247" t="s">
        <v>2549</v>
      </c>
    </row>
    <row r="454" spans="2:12" ht="15.75" hidden="1" x14ac:dyDescent="0.2">
      <c r="B454" s="155"/>
      <c r="C454" s="148"/>
      <c r="D454" s="138">
        <v>100</v>
      </c>
      <c r="F454" s="156">
        <f t="shared" ref="F454:L454" si="20">MIN(F455:F482)</f>
        <v>476939</v>
      </c>
      <c r="G454" s="156">
        <f t="shared" si="20"/>
        <v>475262</v>
      </c>
      <c r="H454" s="156">
        <f t="shared" si="20"/>
        <v>473504</v>
      </c>
      <c r="I454" s="156">
        <f t="shared" si="20"/>
        <v>1431077</v>
      </c>
      <c r="J454" s="156">
        <f t="shared" si="20"/>
        <v>568321</v>
      </c>
      <c r="K454" s="156">
        <f t="shared" si="20"/>
        <v>1302974</v>
      </c>
      <c r="L454" s="156">
        <f t="shared" si="20"/>
        <v>3315098</v>
      </c>
    </row>
    <row r="455" spans="2:12" ht="15.75" x14ac:dyDescent="0.2">
      <c r="B455" s="157" t="s">
        <v>983</v>
      </c>
      <c r="C455" s="158"/>
      <c r="D455" s="290">
        <f t="shared" ref="D455:D482" si="21">SUM(F455/F$454,G455/G$454,H455/H$454,I455/I$454,J455/J$454,K455/K$454,L455/L$454)/7*100</f>
        <v>249.70639983339257</v>
      </c>
      <c r="E455" s="291" t="s">
        <v>1321</v>
      </c>
      <c r="F455" s="292">
        <v>1048704</v>
      </c>
      <c r="G455" s="162">
        <v>2097280</v>
      </c>
      <c r="H455" s="161">
        <v>2097280</v>
      </c>
      <c r="I455" s="293">
        <v>2097168</v>
      </c>
      <c r="J455" s="162">
        <v>1048704</v>
      </c>
      <c r="K455" s="162">
        <v>2097300</v>
      </c>
      <c r="L455" s="162">
        <v>5032709</v>
      </c>
    </row>
    <row r="456" spans="2:12" ht="15.75" customHeight="1" x14ac:dyDescent="0.2">
      <c r="B456" s="4748" t="s">
        <v>2800</v>
      </c>
      <c r="C456" s="3372" t="s">
        <v>40</v>
      </c>
      <c r="D456" s="290">
        <f>SUM(F456/F$454,G456/G$454,H456/H$454,I456/I$454,J456/J$454,K456/K$454,L456/L$454)/7*100</f>
        <v>100.08176701084804</v>
      </c>
      <c r="E456" s="312">
        <f>118.7+200.3+222.7+237.5+119+234.3+585.76</f>
        <v>1718.26</v>
      </c>
      <c r="F456" s="3024">
        <v>478857</v>
      </c>
      <c r="G456" s="3024">
        <v>475262</v>
      </c>
      <c r="H456" s="3024">
        <v>473504</v>
      </c>
      <c r="I456" s="3024">
        <v>1431077</v>
      </c>
      <c r="J456" s="2849">
        <v>568321</v>
      </c>
      <c r="K456" s="1814">
        <v>1302974</v>
      </c>
      <c r="L456" s="1814">
        <v>3320741</v>
      </c>
    </row>
    <row r="457" spans="2:12" ht="15.75" customHeight="1" x14ac:dyDescent="0.25">
      <c r="B457" s="4926" t="s">
        <v>2554</v>
      </c>
      <c r="C457" s="3176" t="s">
        <v>40</v>
      </c>
      <c r="D457" s="290">
        <f>SUM(F457/F$454,G457/G$454,H457/H$454,I457/I$454,J457/J$454,K457/K$454,L457/L$454)/7*100</f>
        <v>100.27271599742045</v>
      </c>
      <c r="E457" s="312">
        <f>169.62+351.03+367.17+330.01+170.47+376.45+884.51</f>
        <v>2649.26</v>
      </c>
      <c r="F457" s="319">
        <v>477483</v>
      </c>
      <c r="G457" s="319">
        <v>477478</v>
      </c>
      <c r="H457" s="319">
        <v>474188</v>
      </c>
      <c r="I457" s="319">
        <v>1434132</v>
      </c>
      <c r="J457" s="2849">
        <v>572396</v>
      </c>
      <c r="K457" s="1814">
        <v>1306280</v>
      </c>
      <c r="L457" s="1814">
        <v>3315098</v>
      </c>
    </row>
    <row r="458" spans="2:12" ht="15.75" x14ac:dyDescent="0.2">
      <c r="B458" s="4716" t="s">
        <v>2555</v>
      </c>
      <c r="C458" s="3372" t="s">
        <v>40</v>
      </c>
      <c r="D458" s="290">
        <f>SUM(F458/F$454,G458/G$454,H458/H$454,I458/I$454,J458/J$454,K458/K$454,L458/L$454)/7*100</f>
        <v>100.29104725120609</v>
      </c>
      <c r="E458" s="312">
        <f>165.36+304.63+320.19+315.66+156.86+321.26+785.89</f>
        <v>2369.8500000000004</v>
      </c>
      <c r="F458" s="319">
        <v>476939</v>
      </c>
      <c r="G458" s="319">
        <v>476936</v>
      </c>
      <c r="H458" s="319">
        <v>474685</v>
      </c>
      <c r="I458" s="319">
        <v>1433264</v>
      </c>
      <c r="J458" s="4583">
        <v>571579</v>
      </c>
      <c r="K458" s="1814">
        <v>1306360</v>
      </c>
      <c r="L458" s="1814">
        <v>3330007</v>
      </c>
    </row>
    <row r="459" spans="2:12" ht="15.75" x14ac:dyDescent="0.2">
      <c r="B459" s="4925" t="s">
        <v>2784</v>
      </c>
      <c r="C459" s="3372" t="s">
        <v>40</v>
      </c>
      <c r="D459" s="290">
        <f>SUM(F459/F$454,G459/G$454,H459/H$454,I459/I$454,J459/J$454,K459/K$454,L459/L$454)/7*100</f>
        <v>100.32890164552416</v>
      </c>
      <c r="E459" s="312">
        <f>118.82+201.39+221.64+243.63+117.91+230.85+615.6</f>
        <v>1749.8399999999997</v>
      </c>
      <c r="F459" s="4582">
        <v>477230</v>
      </c>
      <c r="G459" s="4582">
        <v>476927</v>
      </c>
      <c r="H459" s="4582">
        <v>474804</v>
      </c>
      <c r="I459" s="4582">
        <v>1433677</v>
      </c>
      <c r="J459" s="4583">
        <v>572264</v>
      </c>
      <c r="K459" s="1814">
        <v>1306663</v>
      </c>
      <c r="L459" s="1814">
        <v>3330275</v>
      </c>
    </row>
    <row r="460" spans="2:12" ht="15.75" x14ac:dyDescent="0.2">
      <c r="B460" s="4594" t="s">
        <v>2552</v>
      </c>
      <c r="C460" s="2414" t="s">
        <v>40</v>
      </c>
      <c r="D460" s="290">
        <f t="shared" ref="D460:D474" si="22">SUM(F460/F$454,G460/G$454,H460/H$454,I460/I$454,J460/J$454,K460/K$454,L460/L$454)/7*100</f>
        <v>107.42172985736913</v>
      </c>
      <c r="E460" s="312">
        <f>6.98+13.7+13.93+12.13+6.05+14.08+30.63</f>
        <v>97.5</v>
      </c>
      <c r="F460" s="4582">
        <v>505456</v>
      </c>
      <c r="G460" s="4582">
        <v>499725</v>
      </c>
      <c r="H460" s="4582">
        <v>497974</v>
      </c>
      <c r="I460" s="4582">
        <v>1561435</v>
      </c>
      <c r="J460" s="4583">
        <v>658187</v>
      </c>
      <c r="K460" s="1814">
        <v>1382349</v>
      </c>
      <c r="L460" s="1814">
        <v>3469063</v>
      </c>
    </row>
    <row r="461" spans="2:12" ht="15.75" x14ac:dyDescent="0.2">
      <c r="B461" s="4646" t="s">
        <v>2495</v>
      </c>
      <c r="C461" s="1569" t="s">
        <v>40</v>
      </c>
      <c r="D461" s="290">
        <f t="shared" si="22"/>
        <v>108.93478893170953</v>
      </c>
      <c r="E461" s="2321">
        <f>15.64+29.25+29.38+32.11+15.48+31.91+94.49</f>
        <v>248.26</v>
      </c>
      <c r="F461" s="1812">
        <v>554916</v>
      </c>
      <c r="G461" s="1812">
        <v>513864</v>
      </c>
      <c r="H461" s="1812">
        <v>507639</v>
      </c>
      <c r="I461" s="1812">
        <v>1512451</v>
      </c>
      <c r="J461" s="392">
        <v>647776</v>
      </c>
      <c r="K461" s="1814">
        <v>1407832</v>
      </c>
      <c r="L461" s="1814">
        <v>3419468</v>
      </c>
    </row>
    <row r="462" spans="2:12" ht="15.75" customHeight="1" x14ac:dyDescent="0.25">
      <c r="B462" s="500" t="s">
        <v>748</v>
      </c>
      <c r="C462" s="294" t="s">
        <v>40</v>
      </c>
      <c r="D462" s="290">
        <f t="shared" si="22"/>
        <v>108.93478893170953</v>
      </c>
      <c r="E462" s="164">
        <f>17.39+34.76+32.05+35.13+17.46+35.53+88.07</f>
        <v>260.39</v>
      </c>
      <c r="F462" s="1703">
        <v>554916</v>
      </c>
      <c r="G462" s="1703">
        <v>513864</v>
      </c>
      <c r="H462" s="1703">
        <v>507639</v>
      </c>
      <c r="I462" s="1703">
        <v>1512451</v>
      </c>
      <c r="J462" s="1478">
        <v>647776</v>
      </c>
      <c r="K462" s="297">
        <v>1407832</v>
      </c>
      <c r="L462" s="297">
        <v>3419468</v>
      </c>
    </row>
    <row r="463" spans="2:12" ht="15.75" customHeight="1" x14ac:dyDescent="0.2">
      <c r="B463" s="497" t="s">
        <v>2072</v>
      </c>
      <c r="C463" s="3122"/>
      <c r="D463" s="290">
        <f t="shared" si="22"/>
        <v>113.80057968614348</v>
      </c>
      <c r="E463" s="312">
        <f>3.12+5.69+6.13+6.98+3.46+5.76+10.74</f>
        <v>41.88</v>
      </c>
      <c r="F463" s="1648">
        <v>571553</v>
      </c>
      <c r="G463" s="1648">
        <v>553794</v>
      </c>
      <c r="H463" s="1648">
        <v>541816</v>
      </c>
      <c r="I463" s="1648">
        <v>1567242</v>
      </c>
      <c r="J463" s="1815">
        <v>670226</v>
      </c>
      <c r="K463" s="1814">
        <v>1466292</v>
      </c>
      <c r="L463" s="1814">
        <v>3508549</v>
      </c>
    </row>
    <row r="464" spans="2:12" ht="15.75" x14ac:dyDescent="0.2">
      <c r="B464" s="2497" t="s">
        <v>2783</v>
      </c>
      <c r="C464" s="4595"/>
      <c r="D464" s="290">
        <f t="shared" si="22"/>
        <v>114.50199709076776</v>
      </c>
      <c r="E464" s="312">
        <f>17.3+30.5+30.6+33.7+26.6+46.9+83.5</f>
        <v>269.10000000000002</v>
      </c>
      <c r="F464" s="302">
        <v>580102</v>
      </c>
      <c r="G464" s="308">
        <v>554314</v>
      </c>
      <c r="H464" s="308">
        <v>548568</v>
      </c>
      <c r="I464" s="1659">
        <v>1572074</v>
      </c>
      <c r="J464" s="315">
        <v>679577</v>
      </c>
      <c r="K464" s="315">
        <v>1483988</v>
      </c>
      <c r="L464" s="315">
        <v>3450234</v>
      </c>
    </row>
    <row r="465" spans="2:12" ht="15.75" x14ac:dyDescent="0.2">
      <c r="B465" s="4718" t="s">
        <v>2622</v>
      </c>
      <c r="C465" s="314"/>
      <c r="D465" s="290">
        <f t="shared" si="22"/>
        <v>114.50199709076776</v>
      </c>
      <c r="E465" s="164">
        <f>45.6+45.7+41.1+47.4+26.6+46.9+120</f>
        <v>373.3</v>
      </c>
      <c r="F465" s="302">
        <v>580102</v>
      </c>
      <c r="G465" s="308">
        <v>554314</v>
      </c>
      <c r="H465" s="308">
        <v>548568</v>
      </c>
      <c r="I465" s="317">
        <v>1572074</v>
      </c>
      <c r="J465" s="304">
        <v>679577</v>
      </c>
      <c r="K465" s="315">
        <v>1483988</v>
      </c>
      <c r="L465" s="315">
        <v>3450234</v>
      </c>
    </row>
    <row r="466" spans="2:12" ht="15.75" x14ac:dyDescent="0.2">
      <c r="B466" s="3244" t="s">
        <v>2083</v>
      </c>
      <c r="C466" s="3246" t="s">
        <v>40</v>
      </c>
      <c r="D466" s="290">
        <f t="shared" si="22"/>
        <v>115.3425130733411</v>
      </c>
      <c r="E466" s="312">
        <f>2.15+2.92+2.86+3.56+2.16+3.56+7.94</f>
        <v>25.150000000000002</v>
      </c>
      <c r="F466" s="1811">
        <v>591542</v>
      </c>
      <c r="G466" s="1812">
        <v>557070</v>
      </c>
      <c r="H466" s="1812">
        <v>552937</v>
      </c>
      <c r="I466" s="3177">
        <v>1584197</v>
      </c>
      <c r="J466" s="3178">
        <v>679984</v>
      </c>
      <c r="K466" s="3162">
        <v>1488220</v>
      </c>
      <c r="L466" s="3162">
        <v>3474728</v>
      </c>
    </row>
    <row r="467" spans="2:12" ht="15.75" x14ac:dyDescent="0.2">
      <c r="B467" s="1374" t="s">
        <v>1030</v>
      </c>
      <c r="C467" s="1364"/>
      <c r="D467" s="290">
        <f t="shared" si="22"/>
        <v>115.90130180458034</v>
      </c>
      <c r="E467" s="312">
        <f>5+5.86+5.7+16.22+6.4+14.48+24.86</f>
        <v>78.52</v>
      </c>
      <c r="F467" s="1812">
        <v>588739</v>
      </c>
      <c r="G467" s="1812">
        <v>556873</v>
      </c>
      <c r="H467" s="3175">
        <v>549647</v>
      </c>
      <c r="I467" s="3173">
        <v>1580567</v>
      </c>
      <c r="J467" s="3174">
        <v>692313</v>
      </c>
      <c r="K467" s="3162">
        <v>1482706</v>
      </c>
      <c r="L467" s="3162">
        <v>3598811</v>
      </c>
    </row>
    <row r="468" spans="2:12" ht="15.75" x14ac:dyDescent="0.2">
      <c r="B468" s="3245" t="s">
        <v>2073</v>
      </c>
      <c r="C468" s="3169"/>
      <c r="D468" s="290">
        <f t="shared" si="22"/>
        <v>117.75397767662929</v>
      </c>
      <c r="E468" s="312">
        <f>2.31+2.72+2.78+3.52+2.34+3.22+6.68</f>
        <v>23.57</v>
      </c>
      <c r="F468" s="177">
        <v>600894</v>
      </c>
      <c r="G468" s="395">
        <v>581508</v>
      </c>
      <c r="H468" s="395">
        <v>581028</v>
      </c>
      <c r="I468" s="3163">
        <v>1586967</v>
      </c>
      <c r="J468" s="3164">
        <v>686588</v>
      </c>
      <c r="K468" s="3162">
        <v>1499689</v>
      </c>
      <c r="L468" s="3162">
        <v>3528069</v>
      </c>
    </row>
    <row r="469" spans="2:12" ht="15.75" x14ac:dyDescent="0.2">
      <c r="B469" s="2498" t="s">
        <v>2585</v>
      </c>
      <c r="C469" s="201"/>
      <c r="D469" s="290">
        <f t="shared" si="22"/>
        <v>118.76063428612791</v>
      </c>
      <c r="E469" s="1362">
        <f>1+1+1+1+1+2+3</f>
        <v>10</v>
      </c>
      <c r="F469" s="1377">
        <v>592303</v>
      </c>
      <c r="G469" s="1440">
        <v>589490</v>
      </c>
      <c r="H469" s="1440">
        <v>589864</v>
      </c>
      <c r="I469" s="1440">
        <v>1577608</v>
      </c>
      <c r="J469" s="1391">
        <v>684720</v>
      </c>
      <c r="K469" s="457">
        <v>1503139</v>
      </c>
      <c r="L469" s="457">
        <v>3727644</v>
      </c>
    </row>
    <row r="470" spans="2:12" ht="15.75" customHeight="1" x14ac:dyDescent="0.2">
      <c r="B470" s="497" t="s">
        <v>2245</v>
      </c>
      <c r="C470" s="3171"/>
      <c r="D470" s="290">
        <f t="shared" si="22"/>
        <v>118.95947069978735</v>
      </c>
      <c r="E470" s="164">
        <f>23+24+23+21+85+18+24</f>
        <v>218</v>
      </c>
      <c r="F470" s="194">
        <v>582249</v>
      </c>
      <c r="G470" s="183">
        <v>582285</v>
      </c>
      <c r="H470" s="183">
        <v>582366</v>
      </c>
      <c r="I470" s="183">
        <v>1589290</v>
      </c>
      <c r="J470" s="184">
        <v>694809</v>
      </c>
      <c r="K470" s="184">
        <v>1521738</v>
      </c>
      <c r="L470" s="184">
        <v>3813188</v>
      </c>
    </row>
    <row r="471" spans="2:12" ht="15.75" x14ac:dyDescent="0.2">
      <c r="B471" s="2491" t="s">
        <v>2556</v>
      </c>
      <c r="C471" s="1586"/>
      <c r="D471" s="290">
        <f t="shared" si="22"/>
        <v>119.79195384611035</v>
      </c>
      <c r="E471" s="164">
        <f>1.95+5.39+4.3+4+1.9+3.77+8.9</f>
        <v>30.21</v>
      </c>
      <c r="F471" s="194">
        <v>606243</v>
      </c>
      <c r="G471" s="183">
        <v>612259</v>
      </c>
      <c r="H471" s="183">
        <v>610619</v>
      </c>
      <c r="I471" s="183">
        <v>1574657</v>
      </c>
      <c r="J471" s="184">
        <v>679867</v>
      </c>
      <c r="K471" s="184">
        <v>1513012</v>
      </c>
      <c r="L471" s="184">
        <v>3575969</v>
      </c>
    </row>
    <row r="472" spans="2:12" ht="15.75" customHeight="1" x14ac:dyDescent="0.2">
      <c r="B472" s="504" t="s">
        <v>1370</v>
      </c>
      <c r="C472" s="344"/>
      <c r="D472" s="290">
        <f t="shared" si="22"/>
        <v>121.16710986057969</v>
      </c>
      <c r="E472" s="164">
        <f>1.37+1.93+1.84+2.09+1.75+2.06+4.17</f>
        <v>15.21</v>
      </c>
      <c r="F472" s="194">
        <v>611187</v>
      </c>
      <c r="G472" s="183">
        <v>619284</v>
      </c>
      <c r="H472" s="183">
        <v>597375</v>
      </c>
      <c r="I472" s="183">
        <v>1607925</v>
      </c>
      <c r="J472" s="184">
        <v>704483</v>
      </c>
      <c r="K472" s="184">
        <v>1523643</v>
      </c>
      <c r="L472" s="184">
        <v>3656739</v>
      </c>
    </row>
    <row r="473" spans="2:12" ht="15.75" x14ac:dyDescent="0.2">
      <c r="B473" s="495" t="s">
        <v>1746</v>
      </c>
      <c r="C473" s="343"/>
      <c r="D473" s="290">
        <f t="shared" si="22"/>
        <v>121.60384566341318</v>
      </c>
      <c r="E473" s="164">
        <f>1+1+1+1+1+1+4</f>
        <v>10</v>
      </c>
      <c r="F473" s="194">
        <v>607130</v>
      </c>
      <c r="G473" s="183">
        <v>618163</v>
      </c>
      <c r="H473" s="183">
        <v>618411</v>
      </c>
      <c r="I473" s="183">
        <v>1589439</v>
      </c>
      <c r="J473" s="184">
        <v>694660</v>
      </c>
      <c r="K473" s="184">
        <v>1522191</v>
      </c>
      <c r="L473" s="184">
        <v>3750644</v>
      </c>
    </row>
    <row r="474" spans="2:12" ht="15.75" x14ac:dyDescent="0.2">
      <c r="B474" s="2313" t="s">
        <v>2553</v>
      </c>
      <c r="C474" s="339" t="s">
        <v>40</v>
      </c>
      <c r="D474" s="290">
        <f t="shared" si="22"/>
        <v>122.81383289513859</v>
      </c>
      <c r="E474" s="312">
        <f>2.1+0.88+0.93+0.58+0.37+0.61+1.67</f>
        <v>7.1400000000000006</v>
      </c>
      <c r="F474" s="1499">
        <v>612739</v>
      </c>
      <c r="G474" s="1381">
        <v>623529</v>
      </c>
      <c r="H474" s="1381">
        <v>624079</v>
      </c>
      <c r="I474" s="1381">
        <v>1590695</v>
      </c>
      <c r="J474" s="1379">
        <v>696045</v>
      </c>
      <c r="K474" s="1379">
        <v>1523799</v>
      </c>
      <c r="L474" s="1379">
        <v>3900251</v>
      </c>
    </row>
    <row r="475" spans="2:12" ht="15.75" customHeight="1" x14ac:dyDescent="0.25">
      <c r="B475" s="3172" t="s">
        <v>1024</v>
      </c>
      <c r="C475" s="2397" t="s">
        <v>40</v>
      </c>
      <c r="D475" s="290">
        <f t="shared" si="21"/>
        <v>123.35541383351637</v>
      </c>
      <c r="E475" s="312">
        <f>1+1+1+1+1+1+2</f>
        <v>8</v>
      </c>
      <c r="F475" s="1499">
        <v>613408</v>
      </c>
      <c r="G475" s="1381">
        <v>636106</v>
      </c>
      <c r="H475" s="1381">
        <v>628163</v>
      </c>
      <c r="I475" s="1381">
        <v>1590526</v>
      </c>
      <c r="J475" s="1379">
        <v>696522</v>
      </c>
      <c r="K475" s="1379">
        <v>1525420</v>
      </c>
      <c r="L475" s="1379">
        <v>3898442</v>
      </c>
    </row>
    <row r="476" spans="2:12" ht="15.75" x14ac:dyDescent="0.2">
      <c r="B476" s="497" t="s">
        <v>1711</v>
      </c>
      <c r="C476" s="339" t="s">
        <v>40</v>
      </c>
      <c r="D476" s="290">
        <f t="shared" si="21"/>
        <v>127.0177191227037</v>
      </c>
      <c r="E476" s="312">
        <f>0.42+1.27+1.27+0.76+0.41+0.75+1.65</f>
        <v>6.5299999999999994</v>
      </c>
      <c r="F476" s="1380">
        <v>633952</v>
      </c>
      <c r="G476" s="1381">
        <v>665817</v>
      </c>
      <c r="H476" s="1381">
        <v>668263</v>
      </c>
      <c r="I476" s="1381">
        <v>1610857</v>
      </c>
      <c r="J476" s="1379">
        <v>737533</v>
      </c>
      <c r="K476" s="1379">
        <v>1559907</v>
      </c>
      <c r="L476" s="1379">
        <v>3743453</v>
      </c>
    </row>
    <row r="477" spans="2:12" ht="15.75" x14ac:dyDescent="0.2">
      <c r="B477" s="494" t="s">
        <v>943</v>
      </c>
      <c r="C477" s="331"/>
      <c r="D477" s="290">
        <f t="shared" si="21"/>
        <v>128.48201591776868</v>
      </c>
      <c r="E477" s="164">
        <f>1.15+2.37+2.12+1.67+0.91+1.37+3.11</f>
        <v>12.7</v>
      </c>
      <c r="F477" s="243">
        <v>675520</v>
      </c>
      <c r="G477" s="214">
        <v>675872</v>
      </c>
      <c r="H477" s="214">
        <v>675856</v>
      </c>
      <c r="I477" s="214">
        <v>1609040</v>
      </c>
      <c r="J477" s="184">
        <v>772704</v>
      </c>
      <c r="K477" s="184">
        <v>1534720</v>
      </c>
      <c r="L477" s="184">
        <v>3534160</v>
      </c>
    </row>
    <row r="478" spans="2:12" ht="15.75" x14ac:dyDescent="0.2">
      <c r="B478" s="497" t="s">
        <v>1100</v>
      </c>
      <c r="C478" s="314" t="s">
        <v>40</v>
      </c>
      <c r="D478" s="290">
        <f t="shared" si="21"/>
        <v>129.4868293882428</v>
      </c>
      <c r="E478" s="164">
        <f>0.98+1.16+0.96+1.16+0.81+1.13+1.19</f>
        <v>7.3900000000000006</v>
      </c>
      <c r="F478" s="243">
        <v>672092</v>
      </c>
      <c r="G478" s="244">
        <v>665849</v>
      </c>
      <c r="H478" s="244">
        <v>661581</v>
      </c>
      <c r="I478" s="244">
        <v>1646564</v>
      </c>
      <c r="J478" s="196">
        <v>753273</v>
      </c>
      <c r="K478" s="196">
        <v>1591653</v>
      </c>
      <c r="L478" s="196">
        <v>3842584</v>
      </c>
    </row>
    <row r="479" spans="2:12" ht="15.75" customHeight="1" x14ac:dyDescent="0.25">
      <c r="B479" s="2493" t="s">
        <v>2216</v>
      </c>
      <c r="C479" s="3170"/>
      <c r="D479" s="290">
        <f t="shared" si="21"/>
        <v>129.7807906964164</v>
      </c>
      <c r="E479" s="164">
        <f>2.41+3.96+4.29+3.59+2.38+3.66+6.08</f>
        <v>26.369999999999997</v>
      </c>
      <c r="F479" s="243">
        <v>652281</v>
      </c>
      <c r="G479" s="244">
        <v>710034</v>
      </c>
      <c r="H479" s="244">
        <v>698225</v>
      </c>
      <c r="I479" s="244">
        <v>1610222</v>
      </c>
      <c r="J479" s="196">
        <v>750844</v>
      </c>
      <c r="K479" s="196">
        <v>1555087</v>
      </c>
      <c r="L479" s="196">
        <v>3675134</v>
      </c>
    </row>
    <row r="480" spans="2:12" ht="15.75" x14ac:dyDescent="0.2">
      <c r="B480" s="497" t="s">
        <v>968</v>
      </c>
      <c r="C480" s="3171"/>
      <c r="D480" s="290">
        <f t="shared" si="21"/>
        <v>136.13665885357236</v>
      </c>
      <c r="E480" s="164">
        <f>1+1+1+1+1+1+3</f>
        <v>9</v>
      </c>
      <c r="F480" s="243">
        <v>693140</v>
      </c>
      <c r="G480" s="214">
        <v>755576</v>
      </c>
      <c r="H480" s="214">
        <v>751640</v>
      </c>
      <c r="I480" s="214">
        <v>1656993</v>
      </c>
      <c r="J480" s="184">
        <v>762224</v>
      </c>
      <c r="K480" s="184">
        <v>1590320</v>
      </c>
      <c r="L480" s="184">
        <v>3910048</v>
      </c>
    </row>
    <row r="481" spans="2:12" ht="15.75" x14ac:dyDescent="0.2">
      <c r="B481" s="497" t="s">
        <v>2551</v>
      </c>
      <c r="C481" s="337"/>
      <c r="D481" s="290">
        <f t="shared" si="21"/>
        <v>137.37903670518753</v>
      </c>
      <c r="E481" s="164">
        <f>0.16+0.22+0.21+0.26+0.17+0.25+0.54</f>
        <v>1.81</v>
      </c>
      <c r="F481" s="243">
        <v>668021</v>
      </c>
      <c r="G481" s="214">
        <v>790208</v>
      </c>
      <c r="H481" s="214">
        <v>790086</v>
      </c>
      <c r="I481" s="214">
        <v>1637560</v>
      </c>
      <c r="J481" s="184">
        <v>745385</v>
      </c>
      <c r="K481" s="184">
        <v>1566906</v>
      </c>
      <c r="L481" s="184">
        <v>4065022</v>
      </c>
    </row>
    <row r="482" spans="2:12" ht="15.75" x14ac:dyDescent="0.2">
      <c r="B482" s="497" t="s">
        <v>953</v>
      </c>
      <c r="C482" s="3165" t="s">
        <v>40</v>
      </c>
      <c r="D482" s="3168">
        <f t="shared" si="21"/>
        <v>139.62449081767818</v>
      </c>
      <c r="E482" s="3166">
        <f>0.41+0.41+0.38+0.28+0.48+0.25+0.72</f>
        <v>2.9299999999999997</v>
      </c>
      <c r="F482" s="243">
        <v>687536</v>
      </c>
      <c r="G482" s="214">
        <v>789585</v>
      </c>
      <c r="H482" s="214">
        <v>775914</v>
      </c>
      <c r="I482" s="214">
        <v>1651176</v>
      </c>
      <c r="J482" s="184">
        <v>756225</v>
      </c>
      <c r="K482" s="184">
        <v>1598460</v>
      </c>
      <c r="L482" s="184">
        <v>4378963</v>
      </c>
    </row>
    <row r="483" spans="2:12" ht="15.75" x14ac:dyDescent="0.2">
      <c r="B483" s="449"/>
      <c r="C483" s="575"/>
      <c r="D483" s="1629"/>
      <c r="E483" s="3155"/>
      <c r="F483" s="229"/>
      <c r="G483" s="229"/>
      <c r="H483" s="229"/>
      <c r="I483" s="229"/>
      <c r="J483" s="229"/>
      <c r="K483" s="229"/>
    </row>
    <row r="484" spans="2:12" ht="15.75" x14ac:dyDescent="0.2">
      <c r="B484" s="140" t="s">
        <v>2744</v>
      </c>
      <c r="C484" s="227"/>
      <c r="D484" s="227"/>
      <c r="E484" s="227"/>
      <c r="F484" s="228"/>
      <c r="G484" s="228"/>
      <c r="H484" s="228"/>
      <c r="I484" s="229"/>
      <c r="J484" s="229"/>
      <c r="K484" s="229"/>
    </row>
    <row r="485" spans="2:12" ht="15.75" x14ac:dyDescent="0.2">
      <c r="B485" s="140" t="s">
        <v>2745</v>
      </c>
      <c r="C485" s="227"/>
      <c r="D485" s="227"/>
      <c r="E485" s="227"/>
      <c r="F485" s="228"/>
      <c r="G485" s="228"/>
      <c r="H485" s="228"/>
      <c r="I485" s="229"/>
      <c r="J485" s="229"/>
      <c r="K485" s="229"/>
    </row>
    <row r="486" spans="2:12" ht="15.75" x14ac:dyDescent="0.2">
      <c r="B486" s="142" t="s">
        <v>2749</v>
      </c>
      <c r="C486" s="227"/>
      <c r="D486" s="227"/>
      <c r="E486" s="227"/>
      <c r="F486" s="228"/>
      <c r="G486" s="228"/>
      <c r="H486" s="228"/>
      <c r="I486" s="229"/>
      <c r="J486" s="229"/>
      <c r="K486" s="229"/>
    </row>
    <row r="487" spans="2:12" ht="15.75" x14ac:dyDescent="0.2">
      <c r="B487" s="140" t="s">
        <v>2750</v>
      </c>
      <c r="C487" s="227"/>
      <c r="D487" s="227"/>
      <c r="E487" s="227"/>
      <c r="F487" s="228"/>
      <c r="G487" s="228"/>
      <c r="H487" s="228"/>
      <c r="I487" s="229"/>
      <c r="J487" s="229"/>
      <c r="K487" s="229"/>
    </row>
  </sheetData>
  <sortState ref="B288:J296">
    <sortCondition ref="D288:D296"/>
  </sortState>
  <mergeCells count="10">
    <mergeCell ref="D449:D453"/>
    <mergeCell ref="E449:E453"/>
    <mergeCell ref="B9:B10"/>
    <mergeCell ref="C1:L3"/>
    <mergeCell ref="D97:D101"/>
    <mergeCell ref="E97:E101"/>
    <mergeCell ref="D281:D285"/>
    <mergeCell ref="E281:E285"/>
    <mergeCell ref="D8:D12"/>
    <mergeCell ref="E8:E12"/>
  </mergeCells>
  <conditionalFormatting sqref="D259:E274 E104:E258">
    <cfRule type="dataBar" priority="15612">
      <dataBar>
        <cfvo type="min"/>
        <cfvo type="max"/>
        <color rgb="FFFF555A"/>
      </dataBar>
      <extLst>
        <ext xmlns:x14="http://schemas.microsoft.com/office/spreadsheetml/2009/9/main" uri="{B025F937-C7B1-47D3-B67F-A62EFF666E3E}">
          <x14:id>{FBAF1830-663E-4AE8-9529-F3FD6F513634}</x14:id>
        </ext>
      </extLst>
    </cfRule>
  </conditionalFormatting>
  <conditionalFormatting sqref="E103">
    <cfRule type="dataBar" priority="208">
      <dataBar>
        <cfvo type="min"/>
        <cfvo type="max"/>
        <color rgb="FFFF555A"/>
      </dataBar>
      <extLst>
        <ext xmlns:x14="http://schemas.microsoft.com/office/spreadsheetml/2009/9/main" uri="{B025F937-C7B1-47D3-B67F-A62EFF666E3E}">
          <x14:id>{EA25018F-D055-4772-BECB-E897D8539F4E}</x14:id>
        </ext>
      </extLst>
    </cfRule>
  </conditionalFormatting>
  <conditionalFormatting sqref="I15:I95">
    <cfRule type="cellIs" dxfId="83" priority="17234" operator="equal">
      <formula>MIN(I$15:I$90)</formula>
    </cfRule>
    <cfRule type="cellIs" dxfId="82" priority="17235" operator="lessThan">
      <formula>MIN(I$15:I$89)*1.1</formula>
    </cfRule>
    <cfRule type="colorScale" priority="17236">
      <colorScale>
        <cfvo type="min"/>
        <cfvo type="percentile" val="50"/>
        <cfvo type="percentile" val="90"/>
        <color rgb="FF63BE7B"/>
        <color rgb="FFFFFF99"/>
        <color rgb="FFF8696B"/>
      </colorScale>
    </cfRule>
  </conditionalFormatting>
  <conditionalFormatting sqref="J15:J95">
    <cfRule type="cellIs" dxfId="81" priority="17243" operator="equal">
      <formula>MIN(J$15:J$90)</formula>
    </cfRule>
    <cfRule type="cellIs" dxfId="80" priority="17244" operator="lessThan">
      <formula>MIN(J$15:J$89)*1.1</formula>
    </cfRule>
    <cfRule type="colorScale" priority="17245">
      <colorScale>
        <cfvo type="min"/>
        <cfvo type="percentile" val="50"/>
        <cfvo type="percentile" val="90"/>
        <color rgb="FF63BE7B"/>
        <color rgb="FFFFFF99"/>
        <color rgb="FFF8696B"/>
      </colorScale>
    </cfRule>
  </conditionalFormatting>
  <conditionalFormatting sqref="D14:D95">
    <cfRule type="dataBar" priority="17252">
      <dataBar>
        <cfvo type="min"/>
        <cfvo type="max"/>
        <color rgb="FFFF555A"/>
      </dataBar>
      <extLst>
        <ext xmlns:x14="http://schemas.microsoft.com/office/spreadsheetml/2009/9/main" uri="{B025F937-C7B1-47D3-B67F-A62EFF666E3E}">
          <x14:id>{AD132DC3-DABE-48B5-A8A2-D7334CCA02A4}</x14:id>
        </ext>
      </extLst>
    </cfRule>
  </conditionalFormatting>
  <conditionalFormatting sqref="F15:F95">
    <cfRule type="cellIs" dxfId="79" priority="17254" operator="equal">
      <formula>MIN(F$15:F$90)</formula>
    </cfRule>
    <cfRule type="cellIs" dxfId="78" priority="17255" operator="lessThan">
      <formula>MIN(F$15:F$89)*1.1</formula>
    </cfRule>
    <cfRule type="colorScale" priority="17256">
      <colorScale>
        <cfvo type="min"/>
        <cfvo type="percentile" val="50"/>
        <cfvo type="percentile" val="90"/>
        <color rgb="FF63BE7B"/>
        <color rgb="FFFFFF99"/>
        <color rgb="FFF8696B"/>
      </colorScale>
    </cfRule>
  </conditionalFormatting>
  <conditionalFormatting sqref="G15:G95">
    <cfRule type="cellIs" dxfId="77" priority="17263" operator="equal">
      <formula>MIN(G$15:G$90)</formula>
    </cfRule>
    <cfRule type="cellIs" dxfId="76" priority="17264" operator="lessThan">
      <formula>MIN(G$15:G$89)*1.1</formula>
    </cfRule>
    <cfRule type="colorScale" priority="17265">
      <colorScale>
        <cfvo type="min"/>
        <cfvo type="percentile" val="50"/>
        <cfvo type="percentile" val="90"/>
        <color rgb="FF63BE7B"/>
        <color rgb="FFFFFF99"/>
        <color rgb="FFF8696B"/>
      </colorScale>
    </cfRule>
  </conditionalFormatting>
  <conditionalFormatting sqref="H15:H95">
    <cfRule type="cellIs" dxfId="75" priority="17272" operator="equal">
      <formula>MIN(H$15:H$90)</formula>
    </cfRule>
    <cfRule type="cellIs" dxfId="74" priority="17273" operator="lessThan">
      <formula>MIN(H$15:H$89)*1.1</formula>
    </cfRule>
    <cfRule type="colorScale" priority="17274">
      <colorScale>
        <cfvo type="min"/>
        <cfvo type="percentile" val="50"/>
        <cfvo type="percentile" val="90"/>
        <color rgb="FF63BE7B"/>
        <color rgb="FFFFFF99"/>
        <color rgb="FFF8696B"/>
      </colorScale>
    </cfRule>
  </conditionalFormatting>
  <conditionalFormatting sqref="D422:E441 E286:E421">
    <cfRule type="dataBar" priority="17434">
      <dataBar>
        <cfvo type="min"/>
        <cfvo type="max"/>
        <color rgb="FFFF555A"/>
      </dataBar>
      <extLst>
        <ext xmlns:x14="http://schemas.microsoft.com/office/spreadsheetml/2009/9/main" uri="{B025F937-C7B1-47D3-B67F-A62EFF666E3E}">
          <x14:id>{7864D16B-B775-41A7-8AB6-488D9D62E174}</x14:id>
        </ext>
      </extLst>
    </cfRule>
  </conditionalFormatting>
  <conditionalFormatting sqref="D286:D421">
    <cfRule type="dataBar" priority="17880">
      <dataBar>
        <cfvo type="min"/>
        <cfvo type="max"/>
        <color rgb="FFFF555A"/>
      </dataBar>
      <extLst>
        <ext xmlns:x14="http://schemas.microsoft.com/office/spreadsheetml/2009/9/main" uri="{B025F937-C7B1-47D3-B67F-A62EFF666E3E}">
          <x14:id>{D1B68DF6-9DB9-4D18-9CAE-F35919FEF4A6}</x14:id>
        </ext>
      </extLst>
    </cfRule>
  </conditionalFormatting>
  <conditionalFormatting sqref="F287:F441">
    <cfRule type="cellIs" dxfId="73" priority="17882" operator="equal">
      <formula>MIN(F$287:F$440)</formula>
    </cfRule>
    <cfRule type="cellIs" dxfId="72" priority="17883" operator="lessThan">
      <formula>MIN(F$287:F$440)*1.1</formula>
    </cfRule>
    <cfRule type="colorScale" priority="17884">
      <colorScale>
        <cfvo type="min"/>
        <cfvo type="percentile" val="50"/>
        <cfvo type="max"/>
        <color rgb="FF63BE7B"/>
        <color rgb="FFFFFF99"/>
        <color rgb="FFF8696B"/>
      </colorScale>
    </cfRule>
  </conditionalFormatting>
  <conditionalFormatting sqref="G287:G441">
    <cfRule type="cellIs" dxfId="71" priority="17888" operator="equal">
      <formula>MIN(G$287:G$440)</formula>
    </cfRule>
    <cfRule type="cellIs" dxfId="70" priority="17889" operator="lessThan">
      <formula>MIN(G$287:G$440)*1.1</formula>
    </cfRule>
    <cfRule type="colorScale" priority="17890">
      <colorScale>
        <cfvo type="min"/>
        <cfvo type="percentile" val="50"/>
        <cfvo type="max"/>
        <color rgb="FF63BE7B"/>
        <color rgb="FFFFFF99"/>
        <color rgb="FFF8696B"/>
      </colorScale>
    </cfRule>
  </conditionalFormatting>
  <conditionalFormatting sqref="H287:H441">
    <cfRule type="cellIs" dxfId="69" priority="17894" operator="equal">
      <formula>MIN(H$287:H$440)</formula>
    </cfRule>
    <cfRule type="colorScale" priority="17895">
      <colorScale>
        <cfvo type="min"/>
        <cfvo type="percentile" val="50"/>
        <cfvo type="max"/>
        <color rgb="FF63BE7B"/>
        <color rgb="FFFFFF99"/>
        <color rgb="FFF8696B"/>
      </colorScale>
    </cfRule>
    <cfRule type="cellIs" dxfId="68" priority="17896" operator="lessThan">
      <formula>MIN(H$287:H$440)*1.1</formula>
    </cfRule>
  </conditionalFormatting>
  <conditionalFormatting sqref="I287:I441">
    <cfRule type="cellIs" dxfId="67" priority="17900" operator="equal">
      <formula>MIN(I$287:I$440)</formula>
    </cfRule>
    <cfRule type="cellIs" dxfId="66" priority="17901" operator="lessThan">
      <formula>MIN(I$287:I$440)*1.1</formula>
    </cfRule>
    <cfRule type="colorScale" priority="17902">
      <colorScale>
        <cfvo type="min"/>
        <cfvo type="percentile" val="50"/>
        <cfvo type="max"/>
        <color rgb="FF63BE7B"/>
        <color rgb="FFFFFF99"/>
        <color rgb="FFF8696B"/>
      </colorScale>
    </cfRule>
  </conditionalFormatting>
  <conditionalFormatting sqref="J287:J441">
    <cfRule type="cellIs" dxfId="65" priority="17906" operator="equal">
      <formula>MIN(J$287:J$440)</formula>
    </cfRule>
    <cfRule type="cellIs" dxfId="64" priority="17907" operator="lessThan">
      <formula>MIN(J$287:J$440)*1.1</formula>
    </cfRule>
    <cfRule type="colorScale" priority="17908">
      <colorScale>
        <cfvo type="min"/>
        <cfvo type="percentile" val="50"/>
        <cfvo type="max"/>
        <color rgb="FF63BE7B"/>
        <color rgb="FFFFFF99"/>
        <color rgb="FFF8696B"/>
      </colorScale>
    </cfRule>
  </conditionalFormatting>
  <conditionalFormatting sqref="E455">
    <cfRule type="dataBar" priority="4">
      <dataBar>
        <cfvo type="min"/>
        <cfvo type="max"/>
        <color rgb="FFFF555A"/>
      </dataBar>
      <extLst>
        <ext xmlns:x14="http://schemas.microsoft.com/office/spreadsheetml/2009/9/main" uri="{B025F937-C7B1-47D3-B67F-A62EFF666E3E}">
          <x14:id>{F2D7C8DE-96E6-4AE4-8BF8-D21BF09A89BC}</x14:id>
        </ext>
      </extLst>
    </cfRule>
  </conditionalFormatting>
  <conditionalFormatting sqref="D483:E483 E456:E482">
    <cfRule type="dataBar" priority="19917">
      <dataBar>
        <cfvo type="min"/>
        <cfvo type="max"/>
        <color rgb="FFFF555A"/>
      </dataBar>
      <extLst>
        <ext xmlns:x14="http://schemas.microsoft.com/office/spreadsheetml/2009/9/main" uri="{B025F937-C7B1-47D3-B67F-A62EFF666E3E}">
          <x14:id>{30B33E1D-AB4A-417B-9683-6CE722AEF02F}</x14:id>
        </ext>
      </extLst>
    </cfRule>
  </conditionalFormatting>
  <conditionalFormatting sqref="D455:D482">
    <cfRule type="dataBar" priority="20224">
      <dataBar>
        <cfvo type="min"/>
        <cfvo type="max"/>
        <color rgb="FFFF555A"/>
      </dataBar>
      <extLst>
        <ext xmlns:x14="http://schemas.microsoft.com/office/spreadsheetml/2009/9/main" uri="{B025F937-C7B1-47D3-B67F-A62EFF666E3E}">
          <x14:id>{441A6EBA-9A66-4E9B-BEEE-B7BBBE63E169}</x14:id>
        </ext>
      </extLst>
    </cfRule>
  </conditionalFormatting>
  <conditionalFormatting sqref="F456:F483">
    <cfRule type="cellIs" dxfId="63" priority="20226" operator="equal">
      <formula>MIN(F$456:F$482)</formula>
    </cfRule>
    <cfRule type="cellIs" dxfId="62" priority="20227" operator="lessThan">
      <formula>MIN(F$456:F$482)*1.1</formula>
    </cfRule>
    <cfRule type="colorScale" priority="20228">
      <colorScale>
        <cfvo type="min"/>
        <cfvo type="percentile" val="50"/>
        <cfvo type="max"/>
        <color rgb="FF63BE7B"/>
        <color rgb="FFFFFF99"/>
        <color rgb="FFF8696B"/>
      </colorScale>
    </cfRule>
  </conditionalFormatting>
  <conditionalFormatting sqref="J456:J483">
    <cfRule type="cellIs" dxfId="61" priority="20232" operator="equal">
      <formula>MIN(J$456:J$482)</formula>
    </cfRule>
    <cfRule type="cellIs" dxfId="60" priority="20233" operator="lessThan">
      <formula>MIN(J$456:J$482)*1.1</formula>
    </cfRule>
    <cfRule type="colorScale" priority="20234">
      <colorScale>
        <cfvo type="min"/>
        <cfvo type="percentile" val="50"/>
        <cfvo type="max"/>
        <color rgb="FF63BE7B"/>
        <color rgb="FFFFFF99"/>
        <color rgb="FFF8696B"/>
      </colorScale>
    </cfRule>
  </conditionalFormatting>
  <conditionalFormatting sqref="K456:K483">
    <cfRule type="cellIs" dxfId="59" priority="20238" operator="equal">
      <formula>MIN(K$456:K$482)</formula>
    </cfRule>
    <cfRule type="cellIs" dxfId="58" priority="20239" operator="lessThan">
      <formula>MIN(K$456:K$482)*1.1</formula>
    </cfRule>
    <cfRule type="colorScale" priority="20240">
      <colorScale>
        <cfvo type="min"/>
        <cfvo type="percentile" val="50"/>
        <cfvo type="max"/>
        <color rgb="FF63BE7B"/>
        <color rgb="FFFFFF99"/>
        <color rgb="FFF8696B"/>
      </colorScale>
    </cfRule>
  </conditionalFormatting>
  <conditionalFormatting sqref="I456:I483">
    <cfRule type="cellIs" dxfId="57" priority="20244" operator="equal">
      <formula>MIN(I$456:I$482)</formula>
    </cfRule>
    <cfRule type="cellIs" dxfId="56" priority="20245" operator="lessThan">
      <formula>MIN(I$456:I$482)*1.1</formula>
    </cfRule>
    <cfRule type="colorScale" priority="20246">
      <colorScale>
        <cfvo type="min"/>
        <cfvo type="percentile" val="50"/>
        <cfvo type="max"/>
        <color rgb="FF63BE7B"/>
        <color rgb="FFFFFF99"/>
        <color rgb="FFF8696B"/>
      </colorScale>
    </cfRule>
  </conditionalFormatting>
  <conditionalFormatting sqref="H456:H483">
    <cfRule type="cellIs" dxfId="55" priority="20250" operator="equal">
      <formula>MIN(H$456:H$482)</formula>
    </cfRule>
    <cfRule type="colorScale" priority="20251">
      <colorScale>
        <cfvo type="min"/>
        <cfvo type="percentile" val="50"/>
        <cfvo type="max"/>
        <color rgb="FF63BE7B"/>
        <color rgb="FFFFFF99"/>
        <color rgb="FFF8696B"/>
      </colorScale>
    </cfRule>
    <cfRule type="cellIs" dxfId="54" priority="20252" operator="lessThan">
      <formula>MIN(H$456:H$482)*1.1</formula>
    </cfRule>
  </conditionalFormatting>
  <conditionalFormatting sqref="G456:G483">
    <cfRule type="cellIs" dxfId="53" priority="20256" operator="equal">
      <formula>MIN(G$456:G$483)</formula>
    </cfRule>
    <cfRule type="cellIs" dxfId="52" priority="20257" operator="lessThan">
      <formula>MIN(G$456:G$482)*1.1</formula>
    </cfRule>
    <cfRule type="colorScale" priority="20258">
      <colorScale>
        <cfvo type="min"/>
        <cfvo type="percentile" val="50"/>
        <cfvo type="max"/>
        <color rgb="FF63BE7B"/>
        <color rgb="FFFFFF99"/>
        <color rgb="FFF8696B"/>
      </colorScale>
    </cfRule>
  </conditionalFormatting>
  <conditionalFormatting sqref="L456:L482">
    <cfRule type="cellIs" dxfId="51" priority="20262" operator="equal">
      <formula>MIN(L$456:L$482)</formula>
    </cfRule>
    <cfRule type="cellIs" dxfId="50" priority="20263" operator="lessThan">
      <formula>MIN(L$456:L$482)*1.1</formula>
    </cfRule>
    <cfRule type="colorScale" priority="20264">
      <colorScale>
        <cfvo type="min"/>
        <cfvo type="percentile" val="50"/>
        <cfvo type="max"/>
        <color rgb="FF63BE7B"/>
        <color rgb="FFFFFF99"/>
        <color rgb="FFF8696B"/>
      </colorScale>
    </cfRule>
  </conditionalFormatting>
  <conditionalFormatting sqref="F104:F274">
    <cfRule type="cellIs" dxfId="49" priority="20340" operator="equal">
      <formula>MIN(F$104:F$273)</formula>
    </cfRule>
    <cfRule type="cellIs" dxfId="48" priority="20341" operator="lessThan">
      <formula>MIN(F$104:F$273)*1.1</formula>
    </cfRule>
    <cfRule type="colorScale" priority="20342">
      <colorScale>
        <cfvo type="min"/>
        <cfvo type="percentile" val="50"/>
        <cfvo type="max"/>
        <color rgb="FF63BE7B"/>
        <color rgb="FFFFFF99"/>
        <color rgb="FFF8696B"/>
      </colorScale>
    </cfRule>
  </conditionalFormatting>
  <conditionalFormatting sqref="E104:E258 E456:E482">
    <cfRule type="cellIs" dxfId="47" priority="20349" operator="equal">
      <formula>MIN(E$104:E$273)</formula>
    </cfRule>
  </conditionalFormatting>
  <conditionalFormatting sqref="D103:D258">
    <cfRule type="dataBar" priority="20351">
      <dataBar>
        <cfvo type="min"/>
        <cfvo type="max"/>
        <color rgb="FFFF555A"/>
      </dataBar>
      <extLst>
        <ext xmlns:x14="http://schemas.microsoft.com/office/spreadsheetml/2009/9/main" uri="{B025F937-C7B1-47D3-B67F-A62EFF666E3E}">
          <x14:id>{0E90D876-6C24-4705-83F1-A778E0BB9F83}</x14:id>
        </ext>
      </extLst>
    </cfRule>
  </conditionalFormatting>
  <conditionalFormatting sqref="J104:J274">
    <cfRule type="cellIs" dxfId="46" priority="20353" operator="equal">
      <formula>MIN(J$104:J$273)</formula>
    </cfRule>
    <cfRule type="cellIs" dxfId="45" priority="20354" operator="lessThan">
      <formula>MIN(J$104:J$273)*1.1</formula>
    </cfRule>
    <cfRule type="colorScale" priority="20355">
      <colorScale>
        <cfvo type="min"/>
        <cfvo type="percentile" val="50"/>
        <cfvo type="max"/>
        <color rgb="FF63BE7B"/>
        <color rgb="FFFFFF99"/>
        <color rgb="FFF8696B"/>
      </colorScale>
    </cfRule>
  </conditionalFormatting>
  <conditionalFormatting sqref="K104:K274">
    <cfRule type="cellIs" dxfId="44" priority="20359" operator="equal">
      <formula>MIN(K$104:K$273)</formula>
    </cfRule>
    <cfRule type="cellIs" dxfId="43" priority="20360" operator="lessThan">
      <formula>MIN(K$104:K$273)*1.1</formula>
    </cfRule>
    <cfRule type="colorScale" priority="20361">
      <colorScale>
        <cfvo type="min"/>
        <cfvo type="percentile" val="50"/>
        <cfvo type="max"/>
        <color rgb="FF63BE7B"/>
        <color rgb="FFFFFF99"/>
        <color rgb="FFF8696B"/>
      </colorScale>
    </cfRule>
  </conditionalFormatting>
  <conditionalFormatting sqref="L104:L274">
    <cfRule type="cellIs" dxfId="42" priority="20365" operator="equal">
      <formula>MIN(L$104:L$279)</formula>
    </cfRule>
    <cfRule type="cellIs" dxfId="41" priority="20366" operator="lessThanOrEqual">
      <formula>MIN(L$104:L$273)*1.1</formula>
    </cfRule>
    <cfRule type="colorScale" priority="20367">
      <colorScale>
        <cfvo type="min"/>
        <cfvo type="percentile" val="50"/>
        <cfvo type="max"/>
        <color rgb="FF63BE7B"/>
        <color rgb="FFFFFF99"/>
        <color rgb="FFF8696B"/>
      </colorScale>
    </cfRule>
  </conditionalFormatting>
  <conditionalFormatting sqref="I104:I274">
    <cfRule type="cellIs" dxfId="40" priority="20371" operator="equal">
      <formula>MIN(I$104:I$273)</formula>
    </cfRule>
    <cfRule type="cellIs" dxfId="39" priority="20372" operator="lessThan">
      <formula>MIN(I$104:I$273)*1.1</formula>
    </cfRule>
    <cfRule type="colorScale" priority="20373">
      <colorScale>
        <cfvo type="min"/>
        <cfvo type="percentile" val="50"/>
        <cfvo type="max"/>
        <color rgb="FF63BE7B"/>
        <color rgb="FFFFFF99"/>
        <color rgb="FFF8696B"/>
      </colorScale>
    </cfRule>
  </conditionalFormatting>
  <conditionalFormatting sqref="H104:H274">
    <cfRule type="cellIs" dxfId="38" priority="20377" operator="equal">
      <formula>MIN(H$104:H$273)</formula>
    </cfRule>
    <cfRule type="colorScale" priority="20378">
      <colorScale>
        <cfvo type="min"/>
        <cfvo type="percentile" val="50"/>
        <cfvo type="max"/>
        <color rgb="FF63BE7B"/>
        <color rgb="FFFFFF99"/>
        <color rgb="FFF8696B"/>
      </colorScale>
    </cfRule>
    <cfRule type="cellIs" dxfId="37" priority="20379" operator="lessThan">
      <formula>MIN(H$104:H$273)*1.1</formula>
    </cfRule>
  </conditionalFormatting>
  <conditionalFormatting sqref="G104:G274">
    <cfRule type="cellIs" dxfId="36" priority="20383" operator="equal">
      <formula>MIN(G$104:G$273)</formula>
    </cfRule>
    <cfRule type="cellIs" dxfId="35" priority="20384" operator="lessThan">
      <formula>MIN(G$104:G$273)*1.1</formula>
    </cfRule>
    <cfRule type="colorScale" priority="20385">
      <colorScale>
        <cfvo type="min"/>
        <cfvo type="percentile" val="50"/>
        <cfvo type="max"/>
        <color rgb="FF63BE7B"/>
        <color rgb="FFFFFF99"/>
        <color rgb="FFF8696B"/>
      </colorScale>
    </cfRule>
  </conditionalFormatting>
  <conditionalFormatting sqref="K287:K441">
    <cfRule type="cellIs" dxfId="34" priority="20389" operator="equal">
      <formula>MIN(K$104:K$273)</formula>
    </cfRule>
    <cfRule type="cellIs" dxfId="33" priority="20390" operator="lessThan">
      <formula>MIN(K$104:K$273)*1.1</formula>
    </cfRule>
    <cfRule type="colorScale" priority="20391">
      <colorScale>
        <cfvo type="min"/>
        <cfvo type="percentile" val="50"/>
        <cfvo type="max"/>
        <color rgb="FFFFFF99"/>
        <color rgb="FFFFCC99"/>
        <color rgb="FF99CCFF"/>
      </colorScale>
    </cfRule>
  </conditionalFormatting>
  <conditionalFormatting sqref="L287:L441">
    <cfRule type="cellIs" dxfId="32" priority="20392" operator="equal">
      <formula>MIN(L$104:L$279)</formula>
    </cfRule>
    <cfRule type="colorScale" priority="20393">
      <colorScale>
        <cfvo type="min"/>
        <cfvo type="percentile" val="50"/>
        <cfvo type="max"/>
        <color rgb="FFFFFF99"/>
        <color rgb="FFFFCC99"/>
        <color rgb="FF99CCFF"/>
      </colorScale>
    </cfRule>
  </conditionalFormatting>
  <hyperlinks>
    <hyperlink ref="L99" r:id="rId1" display="Stephan Busch"/>
    <hyperlink ref="K99" r:id="rId2" display="Stephan Busch"/>
    <hyperlink ref="F99" r:id="rId3" display="Mark Goldstein"/>
    <hyperlink ref="G99" r:id="rId4" display="Mark Goldstein"/>
    <hyperlink ref="I99" r:id="rId5" display="Mark Goldstein"/>
    <hyperlink ref="H99" r:id="rId6" display="STSCI"/>
    <hyperlink ref="B271" r:id="rId7" display=".RWZ RAWZOR (lossless) Sachin Garg 2010"/>
    <hyperlink ref="B121" r:id="rId8" display="STUFFIT 2010 v14.0.0.9 (2009) SITX"/>
    <hyperlink ref="B189" r:id="rId9" display="NanoZip 0.09α -cc -m2g (04.11.2011) Sami Runsas"/>
    <hyperlink ref="B188" r:id="rId10" display="FreeARC 0.67 ultra (2012) Bulat Ziganshin"/>
    <hyperlink ref="B213" r:id="rId11"/>
    <hyperlink ref="B117" r:id="rId12" location="1350" display="PAQ8pxd_v4 (19.04.2012) -7 -worldwide PAQ crew-"/>
    <hyperlink ref="B168" r:id="rId13" display="UHARC v0.6b (PPM, 32MB dict., Multimedia ) U. Herklotz"/>
    <hyperlink ref="B177" r:id="rId14" display="WinAce v2.69 Final (4096 KB dict + Delta) Marcel Lemke"/>
    <hyperlink ref="B217" r:id="rId15" display="WinRar x64 v3.92 (4096 KB dictionary + Delta) Eugene Roshal"/>
    <hyperlink ref="B129" r:id="rId16" display="FLIC 2.1 x64 (16.11.11) Alexander Ratushnyak"/>
    <hyperlink ref="B122" r:id="rId17" display="GraLIC 1.11 demo (30.07.11) A. Ratushnyak, Graystone CT Inc."/>
    <hyperlink ref="B180" r:id="rId18"/>
    <hyperlink ref="B119" r:id="rId19" location="1532"/>
    <hyperlink ref="B137" r:id="rId20" display=".RKI RKIM 1.06 (08.01.2000) cx (input=tga)"/>
    <hyperlink ref="B151" r:id="rId21" display=".RKI RKIM 1.06 (08.01.2000) c (input=tga)"/>
    <hyperlink ref="B142" r:id="rId22" display=".UHI UHIC 2.0 (27.12.1999) m (input=bmp)"/>
    <hyperlink ref="B144" r:id="rId23" display=".UHI UHIC 2.0 (27.12.1999) e (input=bmp)"/>
    <hyperlink ref="B157" r:id="rId24"/>
    <hyperlink ref="B162" r:id="rId25" display=".JLS (jpegls.8bi, color transform R-=G, B-=G, 21.11.2001, lossless)"/>
    <hyperlink ref="B161" r:id="rId26" display=".JLS (jpegls.8bi, color transform B-=(R+G)/2, 21.11.2001, lossless)"/>
    <hyperlink ref="B165" r:id="rId27" display=".LSP S+P 3.0.1 (30.08.96) Amir Said &amp; W.A. Pearlman (lossless) (input=RAS)"/>
    <hyperlink ref="B228" r:id="rId28" display=".PNG (XnView 1.98.7)"/>
    <hyperlink ref="B235" r:id="rId29" display=".TIFF/deflate (lossless)"/>
    <hyperlink ref="B238" r:id="rId30" display=".TIFF/lzw + predictor (lossless)"/>
    <hyperlink ref="B252" r:id="rId31" display=".TGA TARGA (Compressed) (XnView 1.98.7)"/>
    <hyperlink ref="B255" r:id="rId32" display=".TIFF (uncompressed)"/>
    <hyperlink ref="B150" r:id="rId33" display=".TVC NK (26.11.1999) Tomsk State University (input=bmp)"/>
    <hyperlink ref="B183" r:id="rId34"/>
    <hyperlink ref="B192" r:id="rId35" display=".WEBP 0.13 exp. lossless (png2webpll.exe, 18.11.2011) -c 0"/>
    <hyperlink ref="B203" r:id="rId36" display=".JXR JPEG-XR (Zoner Photo Studio 14 free) Quality 100"/>
    <hyperlink ref="B194" r:id="rId37"/>
    <hyperlink ref="B190" r:id="rId38" display=".APT v 1.0 (25.3.2004) (input=bmp)"/>
    <hyperlink ref="B199" r:id="rId39" display=".JPG (JPEG 9; cjpeg -rgb1 -block 1 -arithmetic) 19.05.2012, lossless"/>
    <hyperlink ref="B201" r:id="rId40" display=".BTP BTPC 5 (EPIC 24 v0.1b) (2003) (input=bmp)John Robinson"/>
    <hyperlink ref="B210" r:id="rId41" display=".IZ ImageZero (23.03.2012) Chritoph Feck"/>
    <hyperlink ref="B207" r:id="rId42"/>
    <hyperlink ref="B204" r:id="rId43" display=".JPG (LIBJPEG 8d, 2012 09, Thomas Richter) -ls 0 -c (lossless)"/>
    <hyperlink ref="B212" r:id="rId44"/>
    <hyperlink ref="B237" r:id="rId45"/>
    <hyperlink ref="B230" r:id="rId46" display="BZIP2 1.0 (2008) -9 Julian Seward"/>
    <hyperlink ref="B241" r:id="rId47" display="GZIP 1.3.5 (-9) ('07) Jean-Loup Gailly &amp; Mark Adler"/>
    <hyperlink ref="B211" r:id="rId48"/>
    <hyperlink ref="B187" r:id="rId49" display="SBC Archiver v0.970 (2004) -m3 -b63 Sami J. Makinen"/>
    <hyperlink ref="B437" r:id="rId50" display=".RWZ RAWZOR (lossless) Sachin Garg 2010"/>
    <hyperlink ref="B311" r:id="rId51" display="STUFFIT 2010 v14.0.0.9 (2009) SITX"/>
    <hyperlink ref="B349" r:id="rId52" display="NanoZip 0.09α -cc -m2g (04.11.2011) Sami Runsas"/>
    <hyperlink ref="B372" r:id="rId53" display="FreeARC 0.67 ultra (2012) Bulat Ziganshin"/>
    <hyperlink ref="B394" r:id="rId54" display="WinZip 16.5.10095 (ZIPX) best method"/>
    <hyperlink ref="B386" r:id="rId55"/>
    <hyperlink ref="B309" r:id="rId56" location="1350" display="PAQ8pxd_v4 (19.04.2012) -7 -worldwide PAQ crew-"/>
    <hyperlink ref="B370" r:id="rId57" display="UHARC v0.6b (PPM, 32MB dict., Multimedia ) U. Herklotz"/>
    <hyperlink ref="B353" r:id="rId58" display="WinAce v2.69 Final (4096 KB dict + Delta) Marcel Lemke"/>
    <hyperlink ref="B390" r:id="rId59" display="WinRar x64 v3.92 (4096 KB dictionary + Delta) Eugene Roshal"/>
    <hyperlink ref="B293" r:id="rId60" display=".BMF v2.0 (2009) -S Dmitry Shkarin (input=bmp)"/>
    <hyperlink ref="B429" r:id="rId61" display="FLIC 2.1 x64 (16.11.11) Alexander Ratushnyak"/>
    <hyperlink ref="B303" r:id="rId62" display="GraLIC 1.11 demo (30.07.11) A. Ratushnyak, Graystone CT Inc."/>
    <hyperlink ref="B313" r:id="rId63" location="1532" display="FP8_v3 -7 (2012) Jan Ondrus"/>
    <hyperlink ref="B342" r:id="rId64" display=".PPN PackPNM 1.6c (12.01.2014) Matthias Stirner"/>
    <hyperlink ref="B310" r:id="rId65" display=".RKI RKIM 1.06 (08.01.2000) cx (input=tga)"/>
    <hyperlink ref="B330" r:id="rId66" display=".RKI RKIM 1.06 (08.01.2000) c (input=tga)"/>
    <hyperlink ref="B440" r:id="rId67" display=".UHI UHIC 2.0 (27.12.1999) m (input=bmp)"/>
    <hyperlink ref="B439" r:id="rId68" display=".UHI UHIC 2.0 (27.12.1999) e (input=bmp)"/>
    <hyperlink ref="B426" r:id="rId69"/>
    <hyperlink ref="B335" r:id="rId70" display=".JLS (jpegls.8bi, color transform B-=(R+G)/2, 21.11.2001, lossless)"/>
    <hyperlink ref="B346" r:id="rId71"/>
    <hyperlink ref="B347" r:id="rId72" display=".TVC NK (26.11.1999) Tomsk State University (input=bmp)"/>
    <hyperlink ref="B344" r:id="rId73"/>
    <hyperlink ref="B380" r:id="rId74" display=".JXR JPEG-XR (Zoner Photo Studio 14 free) Quality 100"/>
    <hyperlink ref="B397" r:id="rId75" display=".CPD (PhotoK 0.1.0.1, www.kandalu.net, 30.07.2009) lossless"/>
    <hyperlink ref="B365" r:id="rId76" display=".APT v 1.0 (25.3.2004) (input=bmp)"/>
    <hyperlink ref="B385" r:id="rId77" display=".JPG (JPEG 9; cjpeg -rgb1 -block 1 -arithmetic) 19.05.2012, lossless"/>
    <hyperlink ref="B366" r:id="rId78" display=".BTP BTPC 5 (EPIC 24 v0.1b) (2003) (input=bmp)John Robinson"/>
    <hyperlink ref="B431" r:id="rId79" display=".IZ ImageZero (23.03.2012) Chritoph Feck"/>
    <hyperlink ref="B336" r:id="rId80"/>
    <hyperlink ref="B338" r:id="rId81"/>
    <hyperlink ref="B371" r:id="rId82"/>
    <hyperlink ref="B434" r:id="rId83" display=".OpenEXR Format (PIZ Mode)"/>
    <hyperlink ref="B423" r:id="rId84"/>
    <hyperlink ref="B387" r:id="rId85" display="BZIP2 1.0 (2008) -9 Julian Seward"/>
    <hyperlink ref="B405" r:id="rId86" display="GZIP 1.3.5 (-9) ('07) Jean-Loup Gailly &amp; Mark Adler"/>
    <hyperlink ref="B358" r:id="rId87"/>
    <hyperlink ref="B379" r:id="rId88" display="SBC Archiver v0.970 (2004) -m3 -b63 Sami J. Makinen"/>
    <hyperlink ref="B376" r:id="rId89" display="Flashzip 0.99d1b -m9 -b7 -s (2009) N.F. Antonio"/>
    <hyperlink ref="B291" r:id="rId90"/>
    <hyperlink ref="B329" r:id="rId91"/>
    <hyperlink ref="B350" r:id="rId92" display=".PWC (20.11.1999) Paul Ausbeck"/>
    <hyperlink ref="B264" r:id="rId93"/>
    <hyperlink ref="B266" r:id="rId94"/>
    <hyperlink ref="B270" r:id="rId95" display=".PWC (20.11.1999) Paul Ausbeck"/>
    <hyperlink ref="B421" r:id="rId96" display=".BMP Windows Bitmap (RLE compressed)"/>
    <hyperlink ref="B123" r:id="rId97" display=".BMF v2.0 (2009) -S Dmitry Shkarin (input=bmp)"/>
    <hyperlink ref="B377" r:id="rId98" display=".PNG (XnView 1.98.7)"/>
    <hyperlink ref="B363" r:id="rId99"/>
    <hyperlink ref="B364" r:id="rId100" display=".PNG (XnView 1.98.7)"/>
    <hyperlink ref="B332" r:id="rId101" display=".TVC NK (26.11.1999) Tomsk State University (input=bmp)"/>
    <hyperlink ref="B232" r:id="rId102" display=".OpenEXR Format (PIZ Mode)"/>
    <hyperlink ref="B148" r:id="rId103" display=".TVC NK (26.11.1999) Tomsk State University (input=bmp)"/>
    <hyperlink ref="B143" r:id="rId104" display=".BMF v2.0 (2009) -S Dmitry Shkarin (input=bmp)"/>
    <hyperlink ref="B396" r:id="rId105" display="ARHANGEL 1.40 -mm -mf (2000) George Lyapko"/>
    <hyperlink ref="B169" r:id="rId106" display="ARHANGEL 1.40 -mm -mf (2000) George Lyapko"/>
    <hyperlink ref="B185" r:id="rId107" display="Pyramid Workshop 0.01debug (cptpc.exe) (2000) Niels Fröhling"/>
    <hyperlink ref="B388" r:id="rId108" display="Pyramid Workshop 0.01debug (cptpc.exe) (2000) Niels Fröhling"/>
    <hyperlink ref="B159" r:id="rId109" display="WIC lossless image compressor"/>
    <hyperlink ref="B268" r:id="rId110" display="Felics v1.1.1.1  Ian H. Witten, Alistair Moffat &amp; Timothy C. Bell"/>
    <hyperlink ref="B382" r:id="rId111" display="Felics v1.1.1.1  Ian H. Witten, Alistair Moffat &amp; Timothy C. Bell"/>
    <hyperlink ref="B407" r:id="rId112"/>
    <hyperlink ref="B340" r:id="rId113" display=".J2K JPEG2000 (Lossless) Kakadu 7.1 (25.06.2012)"/>
    <hyperlink ref="B166" r:id="rId114" display=".J2K JPEG2000 (Lossless) Kakadu 7.1 (25.06.2012)"/>
    <hyperlink ref="B220" r:id="rId115" display=".PNG OPTIPNG 0.71 HG -o7 (19.03.2012) Cosmin Truta"/>
    <hyperlink ref="B221" r:id="rId116" display=".PNG (XnView 1.98.7)"/>
    <hyperlink ref="B219" r:id="rId117" display=".PNG (XnView 1.98.7)"/>
    <hyperlink ref="B167" r:id="rId118" display=".J2K JPEG2000 (lossless) www.openjpeg.org 1.5.1 (25.06.2012) "/>
    <hyperlink ref="B339" r:id="rId119"/>
    <hyperlink ref="B209" r:id="rId120" display="7-Zip x64 9.1.7 (0=delta:4 1=lzma:lp1:d96:fb273) Igor Pavlov"/>
    <hyperlink ref="B391" r:id="rId121" display="7-Zip x64 9.1.7 (0=delta:4 1=lzma:lp1:d96:fb273) Igor Pavlov"/>
    <hyperlink ref="B246" r:id="rId122"/>
    <hyperlink ref="B412" r:id="rId123"/>
    <hyperlink ref="B251" r:id="rId124"/>
    <hyperlink ref="B240" r:id="rId125" display=".PSP Paintshop Pro Image (Corel Corporation)"/>
    <hyperlink ref="B416" r:id="rId126"/>
    <hyperlink ref="B406" r:id="rId127" display=".PSP Paintshop Pro Image (Corel Corporation)"/>
    <hyperlink ref="B242" r:id="rId128"/>
    <hyperlink ref="B256" r:id="rId129" display=".TIFF/lzw + predictor (lossless)"/>
    <hyperlink ref="B413" r:id="rId130" display=".TIFF/lzw + predictor (lossless)"/>
    <hyperlink ref="B411" r:id="rId131"/>
    <hyperlink ref="B254" r:id="rId132" display=".BMP Windows Bitmap (RLE compressed)"/>
    <hyperlink ref="B408" r:id="rId133" display=".TIFF/deflate (lossless)"/>
    <hyperlink ref="B420" r:id="rId134" display=".TIFF (uncompressed)"/>
    <hyperlink ref="B418" r:id="rId135" display=".TGA TARGA (Compressed) (XnView 1.98.7)"/>
    <hyperlink ref="B410" r:id="rId136" display=".TIFF/lzw + predictor (lossless)"/>
    <hyperlink ref="B393" r:id="rId137" display=".PNG (XnView 1.98.7)"/>
    <hyperlink ref="B257" r:id="rId138" display=".SLI StudioLine Photo Classic 2 Plus"/>
    <hyperlink ref="B417" r:id="rId139" display=".SLI StudioLine Photo Classic 2 Plus"/>
    <hyperlink ref="B156" r:id="rId140" display=".BIM Lossless Image Compressor 0.01 (13.01.2013) Ilya Muravyov"/>
    <hyperlink ref="B178" r:id="rId141" display="QLIC Quick Lossless Image Compressor 1.demo (2013) Alex Ratushnyak"/>
    <hyperlink ref="B436" r:id="rId142" display="QLIC Quick Lossless Image Compressor 1.demo (2013) Alex Ratushnyak"/>
    <hyperlink ref="B427" r:id="rId143" display=".BIM Lossless Image Compressor 0.01 (13.01.2013) Ilya Muravyov"/>
    <hyperlink ref="B3" r:id="rId144"/>
    <hyperlink ref="B2" r:id="rId145"/>
    <hyperlink ref="B155" r:id="rId146" display=".BIM Lossless Image Compressor 0.01 (13.01.2013) Ilya Muravyov"/>
    <hyperlink ref="B152" r:id="rId147" display="ZCM 0.60d -m7 -r -s (2012) N.F. Antonio"/>
    <hyperlink ref="B224" r:id="rId148" display=".JPG (LIBJPEG 8d, 2012 09, Thomas Richter) -ls 0 -c (lossless)"/>
    <hyperlink ref="B239" r:id="rId149" display=".JPG (LIBJPEG 8d, 2012 09, Thomas Richter) -ls 0 -c (lossless)"/>
    <hyperlink ref="B197" r:id="rId150" display="JXRLIB 1.1 (28.05.23013)"/>
    <hyperlink ref="B196" r:id="rId151" display=".PNG (XnView 1.98.7)"/>
    <hyperlink ref="B243" r:id="rId152"/>
    <hyperlink ref="B149" r:id="rId153" display=".BIM Lossless Image Compressor 0.01 (13.01.2013) Ilya Muravyov"/>
    <hyperlink ref="B198" r:id="rId154" display=".JPG (JPEG 9; cjpeg -rgb1 -block 1 -arithmetic) 19.05.2012, lossless"/>
    <hyperlink ref="B227" r:id="rId155" display="CSC 3.2 -m3 -d512 (18.08.2011) Siyuan Fu"/>
    <hyperlink ref="B381" r:id="rId156" display="CSC 3.2 -m3 -d512 (18.08.2011) Siyuan Fu"/>
    <hyperlink ref="B300" r:id="rId157"/>
    <hyperlink ref="B355" r:id="rId158"/>
    <hyperlink ref="B236" r:id="rId159" display="WinRar x64 v3.92 (4096 KB dictionary + Delta) Eugene Roshal"/>
    <hyperlink ref="B395" r:id="rId160" display="WinRar x64 v3.92 (4096 KB dictionary + Delta) Eugene Roshal"/>
    <hyperlink ref="B179" r:id="rId161" display=".PPN PackPNM 1.6c (12.01.2014) Matthias Stirner"/>
    <hyperlink ref="B225" r:id="rId162" display="WinZip 16.5.10095 (ZIPX) best method"/>
    <hyperlink ref="B331" r:id="rId163" display="ZCM 0.92 -m7 -r -s (2014) Francesco Nania"/>
    <hyperlink ref="B195" r:id="rId164" display="ZCM 0.92 -m7 -r -s (2014) Francesco Nania"/>
    <hyperlink ref="B234" r:id="rId165" display=".JPG (JPEG XT 1.00beta2.2 2014 11, jpeg.org) -ls 0 -c "/>
    <hyperlink ref="B205" r:id="rId166"/>
    <hyperlink ref="B181" r:id="rId167"/>
    <hyperlink ref="B361" r:id="rId168" display="MCM 0.83 -x9 (2015) Mathieu Chartier)"/>
    <hyperlink ref="B186" r:id="rId169" display="MCM 0.83 -x9 (2015) Mathieu Chartier)"/>
    <hyperlink ref="B130" r:id="rId170" display="FLIF 0.1 (2015) Jon Sneyers &amp; Pieter Wuille"/>
    <hyperlink ref="B402" r:id="rId171" display=".WEBP 0.20 lossless (cwebp.exe, 16.08.2012)"/>
    <hyperlink ref="B320" r:id="rId172" display="FLIF 0.1 (2015) Jon Sneyers &amp; Pieter Wuille"/>
    <hyperlink ref="B315" r:id="rId173" display="FLIF 0.1 (2015) Jon Sneyers &amp; Pieter Wuille"/>
    <hyperlink ref="B176" r:id="rId174" display=".WEBP 0.20 lossless (cwebp.exe, 16.08.2012)"/>
    <hyperlink ref="B175" r:id="rId175" display=".WEBP 0.20 lossless (cwebp.exe, 16.08.2012)"/>
    <hyperlink ref="B172" r:id="rId176" display=".WEBP 0.20 lossless (cwebp.exe, 16.08.2012)"/>
    <hyperlink ref="B171" r:id="rId177" display=".WEBP 0.20 lossless (cwebp.exe, 16.08.2012)"/>
    <hyperlink ref="B401" r:id="rId178" display=".WEBP 0.20 lossless (cwebp.exe, 16.08.2012)"/>
    <hyperlink ref="B400" r:id="rId179" display=".WEBP 0.20 lossless (cwebp.exe, 16.08.2012)"/>
    <hyperlink ref="B399" r:id="rId180" display=".WEBP 0.20 lossless (cwebp.exe, 16.08.2012)"/>
    <hyperlink ref="B222" r:id="rId181"/>
    <hyperlink ref="B383" r:id="rId182"/>
    <hyperlink ref="B206" r:id="rId183" display=".JPG (JPEG XT 1.00beta2.2 2014 11, jpeg.org) -ls 0 -c "/>
    <hyperlink ref="B223" r:id="rId184" display=".JPG (JPEG XT 1.00beta2.2 2014 11, jpeg.org) -ls 0 -c "/>
    <hyperlink ref="B337" r:id="rId185" display=".JPG (JPEG XT 1.00beta2.2 2014 11, jpeg.org) -ls 0 -c "/>
    <hyperlink ref="B374" r:id="rId186" display=".JPG (JPEG XT 1.00beta2.2 2014 11, jpeg.org) -ls 0 -c "/>
    <hyperlink ref="B174" r:id="rId187" display=".WEBP 0.20 lossless (cwebp.exe, 16.08.2012)"/>
    <hyperlink ref="B133" r:id="rId188" display="FLIF 0.1 (2015) Jon Sneyers &amp; Pieter Wuille"/>
    <hyperlink ref="B138" r:id="rId189" display="FLIF 0.1 (2015) Jon Sneyers &amp; Pieter Wuille"/>
    <hyperlink ref="B141" r:id="rId190" display="FLIF 0.1 (2015) Jon Sneyers &amp; Pieter Wuille"/>
    <hyperlink ref="B327" r:id="rId191" display="FLIF 0.1 (2015) Jon Sneyers &amp; Pieter Wuille"/>
    <hyperlink ref="B323" r:id="rId192" display="FLIF 0.1 (2015) Jon Sneyers &amp; Pieter Wuille"/>
    <hyperlink ref="B30" r:id="rId193" location="1350" display="PAQ8pxd_v4 (19.04.2012) -7 -worldwide PAQ crew-"/>
    <hyperlink ref="B82" r:id="rId194" display="FLIC 2.1 x64 (16.11.11) Alexander Ratushnyak"/>
    <hyperlink ref="B84" r:id="rId195" display="GraLIC 1.11 demo (30.07.11) A. Ratushnyak, Graystone CT Inc."/>
    <hyperlink ref="B33" r:id="rId196" location="1532"/>
    <hyperlink ref="B80" r:id="rId197" display=".BMF v2.0 (2009) -S Dmitry Shkarin (input=bmp)"/>
    <hyperlink ref="B47" r:id="rId198" display="FLIF 0.1 (2015) Jon Sneyers &amp; Pieter Wuille"/>
    <hyperlink ref="B41" r:id="rId199" display="FLIF 0.1 (2015) Jon Sneyers &amp; Pieter Wuille"/>
    <hyperlink ref="B87" r:id="rId200" display=".TVC NK (26.11.1999) Tomsk State University (input=bmp)"/>
    <hyperlink ref="B79" r:id="rId201" display=".BIM Lossless Image Compressor 0.01 (13.01.2013) Ilya Muravyov"/>
    <hyperlink ref="B78" r:id="rId202"/>
    <hyperlink ref="B66" r:id="rId203" display=".J2K JPEG2000 (lossless) www.openjpeg.org 1.5.1 (25.06.2012) "/>
    <hyperlink ref="B72" r:id="rId204"/>
    <hyperlink ref="B88" r:id="rId205" display=".PPN PackPNM 1.6c (12.01.2014) Matthias Stirner"/>
    <hyperlink ref="B42" r:id="rId206" display="MCM 0.83 -x9 (2015) Mathieu Chartier)"/>
    <hyperlink ref="B48" r:id="rId207" display="ZCM 0.92 -m7 -r -s (2014) Francesco Nania"/>
    <hyperlink ref="B75" r:id="rId208" display=".JPG (JPEG 9; cjpeg -rgb1 -block 1 -arithmetic) 19.05.2012, lossless"/>
    <hyperlink ref="B86" r:id="rId209" display=".JXR JPEG-XR (Zoner Photo Studio 14 free) Quality 100"/>
    <hyperlink ref="B76" r:id="rId210" display=".JPG (JPEG XT 1.00beta2.2 2014 11, jpeg.org) -ls 0 -c "/>
    <hyperlink ref="B85" r:id="rId211" display=".IZ ImageZero (23.03.2012) Chritoph Feck"/>
    <hyperlink ref="B70" r:id="rId212" display=".TIFF/lzw + predictor (lossless)"/>
    <hyperlink ref="B67" r:id="rId213" display=".PNG (XnView 1.98.7)"/>
    <hyperlink ref="B68" r:id="rId214"/>
    <hyperlink ref="B65" r:id="rId215" display="BPG 0.9.3 (14.12.2014) -lossless -m 9 Fabrice Bellard"/>
    <hyperlink ref="B69" r:id="rId216" display=".TIFF/deflate (lossless)"/>
    <hyperlink ref="B60" r:id="rId217" display="7-Zip x64 9.1.7 (0=delta:4 1=lzma:lp1:d96:fb273) Igor Pavlov"/>
    <hyperlink ref="B64" r:id="rId218" display=".PNG (XnView 1.98.7)"/>
    <hyperlink ref="B63" r:id="rId219" display="WinRar x64 v3.92 (4096 KB dictionary + Delta) Eugene Roshal"/>
    <hyperlink ref="B244" r:id="rId220"/>
    <hyperlink ref="B81" r:id="rId221"/>
    <hyperlink ref="B77" r:id="rId222" display=".TGA TARGA (Compressed) (XnView 1.98.7)"/>
    <hyperlink ref="B74" r:id="rId223" display=".BMP Windows Bitmap (RLE compressed)"/>
    <hyperlink ref="B61" r:id="rId224"/>
    <hyperlink ref="B62" r:id="rId225" display=".PNG PNGSLIM option 2, 3 and 9 (30.09.2015)"/>
    <hyperlink ref="B214" r:id="rId226" display=".PNG PNGSLIM option 2, 3 and 9 (30.09.2015)"/>
    <hyperlink ref="B360" r:id="rId227" display=".PNG PNGSLIM option 2, 3 and 9 (30.09.2015)"/>
    <hyperlink ref="B89" r:id="rId228" display="QLIC Quick Lossless Image Compressor 1.demo (2013) Alex Ratushnyak"/>
    <hyperlink ref="B90" r:id="rId229"/>
    <hyperlink ref="B160" r:id="rId230"/>
    <hyperlink ref="H283" r:id="rId231" display="MM07R R4.3"/>
    <hyperlink ref="I283" r:id="rId232" display="Guimi"/>
    <hyperlink ref="J283" r:id="rId233" display="Stephan Busch"/>
    <hyperlink ref="F283" r:id="rId234" display="Janice Carr"/>
    <hyperlink ref="J11" r:id="rId235" display="Stephan Busch"/>
    <hyperlink ref="I11" r:id="rId236" display="Stephan Busch"/>
    <hyperlink ref="G11" r:id="rId237" display="Stephan Busch"/>
    <hyperlink ref="F11" r:id="rId238" display="Stephan Busch"/>
    <hyperlink ref="F281" r:id="rId239"/>
    <hyperlink ref="G281" r:id="rId240"/>
    <hyperlink ref="I281" r:id="rId241"/>
    <hyperlink ref="H281" r:id="rId242"/>
    <hyperlink ref="J281" r:id="rId243"/>
    <hyperlink ref="F8" r:id="rId244"/>
    <hyperlink ref="G8" r:id="rId245"/>
    <hyperlink ref="J8" r:id="rId246"/>
    <hyperlink ref="H8" r:id="rId247"/>
    <hyperlink ref="I8" r:id="rId248"/>
    <hyperlink ref="F97" r:id="rId249"/>
    <hyperlink ref="G97" r:id="rId250"/>
    <hyperlink ref="H97" r:id="rId251"/>
    <hyperlink ref="I97" r:id="rId252"/>
    <hyperlink ref="J97" r:id="rId253"/>
    <hyperlink ref="K97" r:id="rId254"/>
    <hyperlink ref="L97" r:id="rId255"/>
    <hyperlink ref="B44" r:id="rId256"/>
    <hyperlink ref="B46" r:id="rId257" display="TSIPcoder 1.36e BPC (27.10.2015) Tilo Strutz"/>
    <hyperlink ref="B50" r:id="rId258"/>
    <hyperlink ref="B51" r:id="rId259"/>
    <hyperlink ref="B56" r:id="rId260" display="TSIPcoder 1.36e TSIP (27.10.2015) Tilo Strutz"/>
    <hyperlink ref="B59" r:id="rId261" display="TSIPcoder 1.36e HXC -HXCauto 1 (27.10.2015) Tilo Strutz"/>
    <hyperlink ref="B128" r:id="rId262"/>
    <hyperlink ref="B145" r:id="rId263"/>
    <hyperlink ref="B146" r:id="rId264"/>
    <hyperlink ref="B147" r:id="rId265"/>
    <hyperlink ref="B158" r:id="rId266"/>
    <hyperlink ref="B233" r:id="rId267"/>
    <hyperlink ref="B302" r:id="rId268"/>
    <hyperlink ref="B403" r:id="rId269"/>
    <hyperlink ref="B356" r:id="rId270"/>
    <hyperlink ref="B334" r:id="rId271"/>
    <hyperlink ref="B333" r:id="rId272"/>
    <hyperlink ref="B354" r:id="rId273"/>
    <hyperlink ref="B322" r:id="rId274"/>
    <hyperlink ref="B55" r:id="rId275"/>
    <hyperlink ref="B200" r:id="rId276"/>
    <hyperlink ref="B375" r:id="rId277"/>
    <hyperlink ref="B43" r:id="rId278" display="FLIF 0.1 (2015) Jon Sneyers &amp; Pieter Wuille"/>
    <hyperlink ref="B321" r:id="rId279" display="FLIF 0.1 (2015) Jon Sneyers &amp; Pieter Wuille"/>
    <hyperlink ref="B319" r:id="rId280" display="FLIF 0.1 (2015) Jon Sneyers &amp; Pieter Wuille"/>
    <hyperlink ref="B131" r:id="rId281" display="FLIF 0.1 (2015) Jon Sneyers &amp; Pieter Wuille"/>
    <hyperlink ref="B134" r:id="rId282" display="FLIF 0.1 (2015) Jon Sneyers &amp; Pieter Wuille"/>
    <hyperlink ref="B45" r:id="rId283" display="FLIF 0.1 (2015) Jon Sneyers &amp; Pieter Wuille"/>
    <hyperlink ref="B40" r:id="rId284" display="FLIF 0.1 (2015) Jon Sneyers &amp; Pieter Wuille"/>
    <hyperlink ref="B39" r:id="rId285" display="FLIF 0.1 (2015) Jon Sneyers &amp; Pieter Wuille"/>
    <hyperlink ref="B35" r:id="rId286" display="FLIF 0.1 (2015) Jon Sneyers &amp; Pieter Wuille"/>
    <hyperlink ref="B136" r:id="rId287" display="FLIF 0.1 (2015) Jon Sneyers &amp; Pieter Wuille"/>
    <hyperlink ref="B135" r:id="rId288" display="FLIF 0.1 (2015) Jon Sneyers &amp; Pieter Wuille"/>
    <hyperlink ref="B326" r:id="rId289" display="FLIF 0.1 (2015) Jon Sneyers &amp; Pieter Wuille"/>
    <hyperlink ref="B324" r:id="rId290" display="FLIF 0.1 (2015) Jon Sneyers &amp; Pieter Wuille"/>
    <hyperlink ref="B132" r:id="rId291" display="FLIF 0.1 (2015) Jon Sneyers &amp; Pieter Wuille"/>
    <hyperlink ref="B325" r:id="rId292" display="FLIF 0.1 (2015) Jon Sneyers &amp; Pieter Wuille"/>
    <hyperlink ref="B36" r:id="rId293" display="FLIF 0.1 (2015) Jon Sneyers &amp; Pieter Wuille"/>
    <hyperlink ref="B54" r:id="rId294" display=".WEBP 0.20 lossless (cwebp.exe, 16.08.2012)"/>
    <hyperlink ref="B343" r:id="rId295" display=".WEBP 0.20 lossless (cwebp.exe, 16.08.2012)"/>
    <hyperlink ref="B170" r:id="rId296" display="GFWX 1.0 (01.12.2015) Graham Fyffe"/>
    <hyperlink ref="B83" r:id="rId297" display="GFWX 1.0 (01.12.2015) Graham Fyffe"/>
    <hyperlink ref="B351" r:id="rId298" display="GFWX 1.0 (01.12.2015) Graham Fyffe"/>
    <hyperlink ref="B34" r:id="rId299" display="FLIF 0.1 (2015) Jon Sneyers &amp; Pieter Wuille"/>
    <hyperlink ref="B32" r:id="rId300" display="FLIF 0.1 (2015) Jon Sneyers &amp; Pieter Wuille"/>
    <hyperlink ref="B127" r:id="rId301" display="FLIF 0.1 (2015) Jon Sneyers &amp; Pieter Wuille"/>
    <hyperlink ref="B125" r:id="rId302" display="FLIF 0.1 (2015) Jon Sneyers &amp; Pieter Wuille"/>
    <hyperlink ref="B317" r:id="rId303" display="FLIF 0.1 (2015) Jon Sneyers &amp; Pieter Wuille"/>
    <hyperlink ref="B345" r:id="rId304" display="Packet 1.9 -mx -s -b5 -h9 Francesco Nania"/>
    <hyperlink ref="B191" r:id="rId305" display="Packet 1.9 -mx -s -b5 -h9 Francesco Nania"/>
    <hyperlink ref="B58" r:id="rId306" display="Packet 1.9 -mx -s -b5 -h9 Francesco Nania"/>
    <hyperlink ref="B173" r:id="rId307" display=".WEBP 0.20 lossless (cwebp.exe, 16.08.2012)"/>
    <hyperlink ref="B53" r:id="rId308" display=".WEBP 0.20 lossless (cwebp.exe, 16.08.2012)"/>
    <hyperlink ref="B314" r:id="rId309" display="FLIF 0.1 (2015) Jon Sneyers &amp; Pieter Wuille"/>
    <hyperlink ref="B288" r:id="rId310" display="Emma 0.1.22 [x64] preset 'images (slow)' Márcio Pais"/>
    <hyperlink ref="B126" r:id="rId311" display="FLIF 0.1 (2015) Jon Sneyers &amp; Pieter Wuille"/>
    <hyperlink ref="B31" r:id="rId312" display="FLIF 0.1 (2015) Jon Sneyers &amp; Pieter Wuille"/>
    <hyperlink ref="B23" r:id="rId313" display="Emma 0.1.22 [x64] preset 'images (slow)' Márcio Pais"/>
    <hyperlink ref="B28" r:id="rId314"/>
    <hyperlink ref="B29" r:id="rId315"/>
    <hyperlink ref="B111" r:id="rId316"/>
    <hyperlink ref="B116" r:id="rId317"/>
    <hyperlink ref="B301" r:id="rId318"/>
    <hyperlink ref="B298" r:id="rId319"/>
    <hyperlink ref="B21" r:id="rId320"/>
    <hyperlink ref="B305" r:id="rId321"/>
    <hyperlink ref="B289" r:id="rId322" display="Emma 0.1.24 x64 preset 'best' Márcio Pais"/>
    <hyperlink ref="B368" r:id="rId323" display="PowerArchiver 17.00.90 .pa opt. strong extreme"/>
    <hyperlink ref="B118" r:id="rId324"/>
    <hyperlink ref="B140" r:id="rId325" display="Emma 0.1.24 x64 preset 'best' Márcio Pais"/>
    <hyperlink ref="B229" r:id="rId326" display="PowerArchiver 17.00.90 .pa opt. strong extreme"/>
    <hyperlink ref="B27" r:id="rId327"/>
    <hyperlink ref="B24" r:id="rId328" display="Emma 0.1.24 x64 preset 'best' Márcio Pais"/>
    <hyperlink ref="B57" r:id="rId329" display="PowerArchiver 17.00.90 .pa opt. strong extreme"/>
    <hyperlink ref="B19" r:id="rId330"/>
    <hyperlink ref="B113" r:id="rId331"/>
    <hyperlink ref="B299" r:id="rId332"/>
    <hyperlink ref="B463" r:id="rId333" display="NanoZip 0.09α -cc -m2g (04.11.2011) Sami Runsas"/>
    <hyperlink ref="B475" r:id="rId334" display="FreeARC 0.67 ultra (2012) Bulat Ziganshin"/>
    <hyperlink ref="B480" r:id="rId335" display="WinAce v2.69 Final (4096 KB dict + Delta) Marcel Lemke"/>
    <hyperlink ref="B462" r:id="rId336" location="1532"/>
    <hyperlink ref="B478" r:id="rId337" display="BZIP2 1.0 (2008) -9 Julian Seward"/>
    <hyperlink ref="B482" r:id="rId338" display="GZIP 1.3.5 (-9) ('07) Jean-Loup Gailly &amp; Mark Adler"/>
    <hyperlink ref="B477" r:id="rId339"/>
    <hyperlink ref="B476" r:id="rId340" display="CSC 3.2 -m3 -d512 (18.08.2011) Siyuan Fu"/>
    <hyperlink ref="B481" r:id="rId341" display="WinRar x64 v3.92 (4096 KB dictionary + Delta) Eugene Roshal"/>
    <hyperlink ref="B473" r:id="rId342" display="WinZip 16.5.10095 (ZIPX) best method"/>
    <hyperlink ref="B468" r:id="rId343" display="ZCM 0.92 -m7 -r -s (2014) Francesco Nania"/>
    <hyperlink ref="B479" r:id="rId344" display="Packet 1.9 -mx -s -b5 -h9 Francesco Nania"/>
    <hyperlink ref="B457" r:id="rId345"/>
    <hyperlink ref="B461" r:id="rId346"/>
    <hyperlink ref="B465" r:id="rId347" display="Emma 0.1.24 x64 preset 'best' Márcio Pais"/>
    <hyperlink ref="B469" r:id="rId348" display="PowerArchiver 17.00.90 .pa opt. strong extreme"/>
    <hyperlink ref="B458" r:id="rId349"/>
    <hyperlink ref="B452" r:id="rId350"/>
    <hyperlink ref="B470" r:id="rId351" display="Masked Compression 2.5 -multra (2016)"/>
    <hyperlink ref="B474" r:id="rId352" display="7-ZIP 9.2.5 LZMA2 ultra128:fb=273:mf=bt4:lc4"/>
    <hyperlink ref="B460" r:id="rId353" display="ZPAQ 6.33 -method 77 ('13) Matt Mahoney"/>
    <hyperlink ref="B466" r:id="rId354" display="MCM 0.83 -x9 (2015) Mathieu Chartier)"/>
    <hyperlink ref="B471" r:id="rId355" display="RAZOR Archiver 1.00 (2017) Christian Martelock"/>
    <hyperlink ref="B296" r:id="rId356"/>
    <hyperlink ref="B104" r:id="rId357"/>
    <hyperlink ref="B17" r:id="rId358"/>
    <hyperlink ref="B295" r:id="rId359"/>
    <hyperlink ref="B106" r:id="rId360"/>
    <hyperlink ref="B18" r:id="rId361"/>
    <hyperlink ref="B369" r:id="rId362" display="RAZOR Archiver 1.00 (2017) Christian Martelock"/>
    <hyperlink ref="B184" r:id="rId363" display="RAZOR Archiver 1.00 (2017) Christian Martelock"/>
    <hyperlink ref="B49" r:id="rId364" display="RAZOR Archiver 1.00 (2017) Christian Martelock"/>
    <hyperlink ref="F453" r:id="rId365"/>
    <hyperlink ref="G453" r:id="rId366"/>
    <hyperlink ref="H453" r:id="rId367"/>
    <hyperlink ref="I453" r:id="rId368"/>
    <hyperlink ref="J453" r:id="rId369"/>
    <hyperlink ref="K453" r:id="rId370"/>
    <hyperlink ref="L453" r:id="rId371"/>
    <hyperlink ref="B5" location="IMAGE!B31" display="proceed to table 1: artificial"/>
    <hyperlink ref="B6" location="IMAGE!B115" display="proceed to table 2: Photographs, RGB"/>
    <hyperlink ref="E5" location="IMAGE!B297" display="proceed to table 3: Photographs, 8-bit Grayscale"/>
    <hyperlink ref="E6" location="IMAGE!B466" display="proceed to table 4: textures"/>
    <hyperlink ref="B464" r:id="rId372" display="Emma 0.1.24 (preset best) Márcio Pais"/>
    <hyperlink ref="B459" r:id="rId373" display="''"/>
    <hyperlink ref="B287" r:id="rId374" display="Emma 0.1.24 (preset best) Márcio Pais"/>
    <hyperlink ref="B292" r:id="rId375" display="''"/>
    <hyperlink ref="B139" r:id="rId376" display="Emma 0.1.24 (preset best) Márcio Pais"/>
    <hyperlink ref="B107" r:id="rId377" display="''"/>
    <hyperlink ref="B22" r:id="rId378" display="Emma 0.1.24 (preset best) Márcio Pais"/>
    <hyperlink ref="B16" r:id="rId379" display="''"/>
    <hyperlink ref="F449" r:id="rId380"/>
    <hyperlink ref="G449" r:id="rId381"/>
    <hyperlink ref="H449" r:id="rId382"/>
    <hyperlink ref="I449" r:id="rId383"/>
    <hyperlink ref="J449" r:id="rId384"/>
    <hyperlink ref="K449" r:id="rId385"/>
    <hyperlink ref="L449" r:id="rId386"/>
    <hyperlink ref="B15" r:id="rId387"/>
    <hyperlink ref="B105" r:id="rId388"/>
    <hyperlink ref="B294" r:id="rId389"/>
    <hyperlink ref="B456" r:id="rId390"/>
  </hyperlinks>
  <pageMargins left="0.70866141732283472" right="0.70866141732283472" top="0.74803149606299213" bottom="0.74803149606299213" header="0.31496062992125984" footer="0.31496062992125984"/>
  <pageSetup paperSize="9" scale="65" fitToWidth="2" fitToHeight="2" orientation="portrait" r:id="rId391"/>
  <legacyDrawing r:id="rId392"/>
  <picture r:id="rId393"/>
  <webPublishItems count="2">
    <webPublishItem id="1950" divId="SqueezeChart2014web_1950" sourceType="range" sourceRef="B1:L165" destinationFile="E:\FILES 1989 - 2014\Files 2014\CoBaLP2 - RGB.htm"/>
    <webPublishItem id="24472" divId="SqueezeChart2014web_24472" sourceType="range" sourceRef="B281:J344" destinationFile="E:\FILES 1989 - 2014\Files 2014\CoBaLP2 - grayscale.htm"/>
  </webPublishItem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BAF1830-663E-4AE8-9529-F3FD6F513634}">
            <x14:dataBar minLength="0" maxLength="100" border="1" negativeBarBorderColorSameAsPositive="0">
              <x14:cfvo type="autoMin"/>
              <x14:cfvo type="autoMax"/>
              <x14:borderColor rgb="FFFF555A"/>
              <x14:negativeFillColor rgb="FFFF0000"/>
              <x14:negativeBorderColor rgb="FFFF0000"/>
              <x14:axisColor rgb="FF000000"/>
            </x14:dataBar>
          </x14:cfRule>
          <xm:sqref>D259:E274 E104:E258</xm:sqref>
        </x14:conditionalFormatting>
        <x14:conditionalFormatting xmlns:xm="http://schemas.microsoft.com/office/excel/2006/main">
          <x14:cfRule type="dataBar" id="{EA25018F-D055-4772-BECB-E897D8539F4E}">
            <x14:dataBar minLength="0" maxLength="100" border="1" negativeBarBorderColorSameAsPositive="0">
              <x14:cfvo type="autoMin"/>
              <x14:cfvo type="autoMax"/>
              <x14:borderColor rgb="FFFF555A"/>
              <x14:negativeFillColor rgb="FFFF0000"/>
              <x14:negativeBorderColor rgb="FFFF0000"/>
              <x14:axisColor rgb="FF000000"/>
            </x14:dataBar>
          </x14:cfRule>
          <xm:sqref>E103</xm:sqref>
        </x14:conditionalFormatting>
        <x14:conditionalFormatting xmlns:xm="http://schemas.microsoft.com/office/excel/2006/main">
          <x14:cfRule type="dataBar" id="{AD132DC3-DABE-48B5-A8A2-D7334CCA02A4}">
            <x14:dataBar minLength="0" maxLength="100" border="1" negativeBarBorderColorSameAsPositive="0">
              <x14:cfvo type="autoMin"/>
              <x14:cfvo type="autoMax"/>
              <x14:borderColor rgb="FFFF555A"/>
              <x14:negativeFillColor rgb="FFFF0000"/>
              <x14:negativeBorderColor rgb="FFFF0000"/>
              <x14:axisColor rgb="FF000000"/>
            </x14:dataBar>
          </x14:cfRule>
          <xm:sqref>D14:D95</xm:sqref>
        </x14:conditionalFormatting>
        <x14:conditionalFormatting xmlns:xm="http://schemas.microsoft.com/office/excel/2006/main">
          <x14:cfRule type="dataBar" id="{7864D16B-B775-41A7-8AB6-488D9D62E174}">
            <x14:dataBar minLength="0" maxLength="100" border="1" negativeBarBorderColorSameAsPositive="0">
              <x14:cfvo type="autoMin"/>
              <x14:cfvo type="autoMax"/>
              <x14:borderColor rgb="FFFF555A"/>
              <x14:negativeFillColor rgb="FFFF0000"/>
              <x14:negativeBorderColor rgb="FFFF0000"/>
              <x14:axisColor rgb="FF000000"/>
            </x14:dataBar>
          </x14:cfRule>
          <xm:sqref>D422:E441 E286:E421</xm:sqref>
        </x14:conditionalFormatting>
        <x14:conditionalFormatting xmlns:xm="http://schemas.microsoft.com/office/excel/2006/main">
          <x14:cfRule type="dataBar" id="{D1B68DF6-9DB9-4D18-9CAE-F35919FEF4A6}">
            <x14:dataBar minLength="0" maxLength="100" border="1" negativeBarBorderColorSameAsPositive="0">
              <x14:cfvo type="autoMin"/>
              <x14:cfvo type="autoMax"/>
              <x14:borderColor rgb="FFFF555A"/>
              <x14:negativeFillColor rgb="FFFF0000"/>
              <x14:negativeBorderColor rgb="FFFF0000"/>
              <x14:axisColor rgb="FF000000"/>
            </x14:dataBar>
          </x14:cfRule>
          <xm:sqref>D286:D421</xm:sqref>
        </x14:conditionalFormatting>
        <x14:conditionalFormatting xmlns:xm="http://schemas.microsoft.com/office/excel/2006/main">
          <x14:cfRule type="dataBar" id="{F2D7C8DE-96E6-4AE4-8BF8-D21BF09A89BC}">
            <x14:dataBar minLength="0" maxLength="100" border="1" negativeBarBorderColorSameAsPositive="0">
              <x14:cfvo type="autoMin"/>
              <x14:cfvo type="autoMax"/>
              <x14:borderColor rgb="FFFF555A"/>
              <x14:negativeFillColor rgb="FFFF0000"/>
              <x14:negativeBorderColor rgb="FFFF0000"/>
              <x14:axisColor rgb="FF000000"/>
            </x14:dataBar>
          </x14:cfRule>
          <xm:sqref>E455</xm:sqref>
        </x14:conditionalFormatting>
        <x14:conditionalFormatting xmlns:xm="http://schemas.microsoft.com/office/excel/2006/main">
          <x14:cfRule type="dataBar" id="{30B33E1D-AB4A-417B-9683-6CE722AEF02F}">
            <x14:dataBar minLength="0" maxLength="100" border="1" negativeBarBorderColorSameAsPositive="0">
              <x14:cfvo type="autoMin"/>
              <x14:cfvo type="autoMax"/>
              <x14:borderColor rgb="FFFF555A"/>
              <x14:negativeFillColor rgb="FFFF0000"/>
              <x14:negativeBorderColor rgb="FFFF0000"/>
              <x14:axisColor rgb="FF000000"/>
            </x14:dataBar>
          </x14:cfRule>
          <xm:sqref>D483:E483 E456:E482</xm:sqref>
        </x14:conditionalFormatting>
        <x14:conditionalFormatting xmlns:xm="http://schemas.microsoft.com/office/excel/2006/main">
          <x14:cfRule type="dataBar" id="{441A6EBA-9A66-4E9B-BEEE-B7BBBE63E169}">
            <x14:dataBar minLength="0" maxLength="100" border="1" negativeBarBorderColorSameAsPositive="0">
              <x14:cfvo type="autoMin"/>
              <x14:cfvo type="autoMax"/>
              <x14:borderColor rgb="FFFF555A"/>
              <x14:negativeFillColor rgb="FFFF0000"/>
              <x14:negativeBorderColor rgb="FFFF0000"/>
              <x14:axisColor rgb="FF000000"/>
            </x14:dataBar>
          </x14:cfRule>
          <xm:sqref>D455:D482</xm:sqref>
        </x14:conditionalFormatting>
        <x14:conditionalFormatting xmlns:xm="http://schemas.microsoft.com/office/excel/2006/main">
          <x14:cfRule type="dataBar" id="{0E90D876-6C24-4705-83F1-A778E0BB9F83}">
            <x14:dataBar minLength="0" maxLength="100" border="1" negativeBarBorderColorSameAsPositive="0">
              <x14:cfvo type="autoMin"/>
              <x14:cfvo type="autoMax"/>
              <x14:borderColor rgb="FFFF555A"/>
              <x14:negativeFillColor rgb="FFFF0000"/>
              <x14:negativeBorderColor rgb="FFFF0000"/>
              <x14:axisColor rgb="FF000000"/>
            </x14:dataBar>
          </x14:cfRule>
          <xm:sqref>D103:D258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9">
    <tabColor rgb="FFFFC000"/>
  </sheetPr>
  <dimension ref="A1:O1469"/>
  <sheetViews>
    <sheetView showGridLines="0" zoomScaleNormal="100" workbookViewId="0">
      <selection activeCell="A16" sqref="A16"/>
    </sheetView>
  </sheetViews>
  <sheetFormatPr baseColWidth="10" defaultColWidth="9.140625" defaultRowHeight="18" customHeight="1" x14ac:dyDescent="0.25"/>
  <cols>
    <col min="1" max="1" width="55.7109375" style="2478" customWidth="1"/>
    <col min="2" max="2" width="3.7109375" style="2478" customWidth="1"/>
    <col min="3" max="3" width="7.85546875" style="1801" customWidth="1"/>
    <col min="4" max="4" width="20" style="2478" customWidth="1"/>
    <col min="5" max="5" width="5.7109375" style="1801" customWidth="1"/>
    <col min="6" max="6" width="55.7109375" style="2478" customWidth="1"/>
    <col min="7" max="7" width="3.7109375" style="2478" customWidth="1"/>
    <col min="8" max="8" width="7.85546875" style="1801" customWidth="1"/>
    <col min="9" max="9" width="20" style="2478" customWidth="1"/>
    <col min="10" max="10" width="2.7109375" style="1801" customWidth="1"/>
    <col min="11" max="16384" width="9.140625" style="1801"/>
  </cols>
  <sheetData>
    <row r="1" spans="1:15" ht="18" customHeight="1" x14ac:dyDescent="0.25">
      <c r="A1" s="143">
        <v>42996.486261574071</v>
      </c>
      <c r="B1" s="4684"/>
      <c r="C1" s="655"/>
      <c r="D1" s="2429"/>
      <c r="E1" s="2429"/>
      <c r="F1" s="2429"/>
      <c r="G1" s="4684"/>
      <c r="H1" s="655"/>
      <c r="I1" s="2429"/>
      <c r="J1" s="2429"/>
    </row>
    <row r="2" spans="1:15" ht="18" customHeight="1" x14ac:dyDescent="0.25">
      <c r="A2" s="5006" t="s">
        <v>1614</v>
      </c>
      <c r="B2" s="5007"/>
      <c r="C2" s="5007"/>
      <c r="D2" s="5007"/>
      <c r="E2" s="5007"/>
      <c r="F2" s="5007"/>
      <c r="G2" s="5007"/>
      <c r="H2" s="5007"/>
      <c r="I2" s="5007"/>
      <c r="J2" s="1307"/>
      <c r="K2" s="2442"/>
      <c r="L2" s="2442"/>
      <c r="M2" s="2442"/>
      <c r="N2" s="2442"/>
      <c r="O2" s="2442"/>
    </row>
    <row r="3" spans="1:15" ht="18" customHeight="1" x14ac:dyDescent="0.25">
      <c r="A3" s="5007"/>
      <c r="B3" s="5007"/>
      <c r="C3" s="5007"/>
      <c r="D3" s="5007"/>
      <c r="E3" s="5007"/>
      <c r="F3" s="5007"/>
      <c r="G3" s="5007"/>
      <c r="H3" s="5007"/>
      <c r="I3" s="5007"/>
      <c r="J3" s="1307"/>
      <c r="K3" s="2442"/>
      <c r="L3" s="2442"/>
      <c r="M3" s="2442"/>
      <c r="N3" s="2442"/>
      <c r="O3" s="2442"/>
    </row>
    <row r="4" spans="1:15" ht="18" customHeight="1" x14ac:dyDescent="0.25">
      <c r="A4" s="5007"/>
      <c r="B4" s="5007"/>
      <c r="C4" s="5007"/>
      <c r="D4" s="5007"/>
      <c r="E4" s="5007"/>
      <c r="F4" s="5007"/>
      <c r="G4" s="5007"/>
      <c r="H4" s="5007"/>
      <c r="I4" s="5007"/>
      <c r="J4" s="1307"/>
      <c r="K4" s="2442"/>
      <c r="L4" s="2442"/>
      <c r="M4" s="2442"/>
      <c r="N4" s="2442"/>
      <c r="O4" s="2442"/>
    </row>
    <row r="5" spans="1:15" ht="7.5" customHeight="1" x14ac:dyDescent="0.25">
      <c r="A5" s="3369"/>
      <c r="B5" s="4683"/>
      <c r="C5" s="3369"/>
      <c r="D5" s="3369"/>
      <c r="E5" s="3369"/>
      <c r="F5" s="3369"/>
      <c r="G5" s="4683"/>
      <c r="H5" s="3369"/>
      <c r="I5" s="3369"/>
      <c r="J5" s="1307"/>
      <c r="K5" s="3369"/>
      <c r="L5" s="3369"/>
      <c r="M5" s="3369"/>
      <c r="N5" s="3369"/>
      <c r="O5" s="3369"/>
    </row>
    <row r="6" spans="1:15" ht="18" customHeight="1" x14ac:dyDescent="0.25">
      <c r="A6" s="3465" t="s">
        <v>2671</v>
      </c>
      <c r="B6" s="4683"/>
      <c r="C6" s="3369"/>
      <c r="D6" s="3465" t="s">
        <v>2673</v>
      </c>
      <c r="E6" s="3369"/>
      <c r="F6" s="3369"/>
      <c r="G6" s="4728" t="s">
        <v>2676</v>
      </c>
      <c r="H6" s="3369"/>
      <c r="I6" s="3369"/>
      <c r="J6" s="1307"/>
      <c r="K6" s="3369"/>
      <c r="L6" s="3369"/>
      <c r="M6" s="3369"/>
      <c r="N6" s="3369"/>
      <c r="O6" s="3369"/>
    </row>
    <row r="7" spans="1:15" ht="18" customHeight="1" x14ac:dyDescent="0.25">
      <c r="A7" s="3465" t="s">
        <v>2670</v>
      </c>
      <c r="B7" s="4683"/>
      <c r="C7" s="3369"/>
      <c r="D7" s="3465" t="s">
        <v>2674</v>
      </c>
      <c r="E7" s="3369"/>
      <c r="F7" s="3369"/>
      <c r="G7" s="4728" t="s">
        <v>2677</v>
      </c>
      <c r="H7" s="3369"/>
      <c r="I7" s="3369"/>
      <c r="J7" s="1307"/>
      <c r="K7" s="3369"/>
      <c r="L7" s="3369"/>
      <c r="M7" s="3369"/>
      <c r="N7" s="3369"/>
      <c r="O7" s="3369"/>
    </row>
    <row r="8" spans="1:15" ht="18" customHeight="1" x14ac:dyDescent="0.25">
      <c r="A8" s="3465" t="s">
        <v>2672</v>
      </c>
      <c r="B8" s="4683"/>
      <c r="C8" s="3369"/>
      <c r="D8" s="3465" t="s">
        <v>2675</v>
      </c>
      <c r="E8" s="3369"/>
      <c r="F8" s="3369"/>
      <c r="G8" s="4728" t="s">
        <v>2678</v>
      </c>
      <c r="H8" s="3369"/>
      <c r="I8" s="3369"/>
      <c r="J8" s="1307"/>
      <c r="K8" s="3369"/>
      <c r="L8" s="3369"/>
      <c r="M8" s="3369"/>
      <c r="N8" s="3369"/>
      <c r="O8" s="3369"/>
    </row>
    <row r="9" spans="1:15" ht="7.5" customHeight="1" x14ac:dyDescent="0.25">
      <c r="A9" s="2429"/>
      <c r="B9" s="4684"/>
      <c r="C9" s="655"/>
      <c r="D9" s="2429"/>
      <c r="E9" s="2429"/>
      <c r="F9" s="2429"/>
      <c r="G9" s="4684"/>
      <c r="H9" s="655"/>
      <c r="I9" s="2429"/>
      <c r="J9" s="2429"/>
    </row>
    <row r="10" spans="1:15" ht="24.75" customHeight="1" x14ac:dyDescent="0.25">
      <c r="A10" s="650" t="s">
        <v>1615</v>
      </c>
      <c r="B10" s="446"/>
      <c r="C10" s="2"/>
      <c r="D10" s="446"/>
      <c r="E10" s="2"/>
      <c r="F10" s="1308"/>
      <c r="G10" s="1309"/>
      <c r="H10" s="711"/>
      <c r="I10" s="478"/>
      <c r="J10" s="423"/>
    </row>
    <row r="11" spans="1:15" ht="5.25" customHeight="1" thickBot="1" x14ac:dyDescent="0.3">
      <c r="A11" s="651"/>
      <c r="B11" s="447"/>
      <c r="C11" s="424"/>
      <c r="D11" s="447"/>
      <c r="E11" s="424"/>
      <c r="F11" s="1310"/>
      <c r="G11" s="479"/>
      <c r="H11" s="712"/>
      <c r="I11" s="479"/>
      <c r="J11" s="425"/>
    </row>
    <row r="12" spans="1:15" ht="18" customHeight="1" thickTop="1" x14ac:dyDescent="0.25">
      <c r="A12" s="448"/>
      <c r="B12" s="448"/>
      <c r="C12" s="426"/>
      <c r="D12" s="448"/>
      <c r="E12" s="426"/>
      <c r="F12" s="478"/>
      <c r="G12" s="478"/>
      <c r="H12" s="711"/>
      <c r="I12" s="478"/>
      <c r="J12" s="423"/>
    </row>
    <row r="13" spans="1:15" ht="18" customHeight="1" x14ac:dyDescent="0.25">
      <c r="A13" s="1460"/>
      <c r="B13" s="624"/>
      <c r="C13" s="656"/>
      <c r="D13" s="449"/>
      <c r="E13" s="427"/>
      <c r="F13" s="525"/>
      <c r="G13" s="535"/>
      <c r="H13" s="656"/>
      <c r="I13" s="449"/>
      <c r="J13" s="427"/>
      <c r="K13" s="2443"/>
    </row>
    <row r="14" spans="1:15" ht="24" customHeight="1" x14ac:dyDescent="0.25">
      <c r="A14" s="1623" t="s">
        <v>1595</v>
      </c>
      <c r="B14" s="625"/>
      <c r="C14" s="2430" t="s">
        <v>480</v>
      </c>
      <c r="D14" s="450" t="s">
        <v>1624</v>
      </c>
      <c r="E14" s="427"/>
      <c r="F14" s="495" t="s">
        <v>1831</v>
      </c>
      <c r="G14" s="564"/>
      <c r="H14" s="2430" t="s">
        <v>480</v>
      </c>
      <c r="I14" s="469" t="s">
        <v>1624</v>
      </c>
      <c r="J14" s="427"/>
      <c r="K14" s="2443"/>
    </row>
    <row r="15" spans="1:15" ht="18" customHeight="1" x14ac:dyDescent="0.25">
      <c r="A15" s="523" t="s">
        <v>2469</v>
      </c>
      <c r="B15" s="4735" t="s">
        <v>40</v>
      </c>
      <c r="C15" s="670">
        <v>199.11</v>
      </c>
      <c r="D15" s="458">
        <v>4244355</v>
      </c>
      <c r="E15" s="427"/>
      <c r="F15" s="2973" t="s">
        <v>2217</v>
      </c>
      <c r="G15" s="565"/>
      <c r="H15" s="2191">
        <v>85.9</v>
      </c>
      <c r="I15" s="1807">
        <v>33935303</v>
      </c>
      <c r="J15" s="427"/>
      <c r="K15" s="2443"/>
    </row>
    <row r="16" spans="1:15" ht="18" customHeight="1" x14ac:dyDescent="0.25">
      <c r="A16" s="4744" t="s">
        <v>2792</v>
      </c>
      <c r="B16" s="4729" t="s">
        <v>40</v>
      </c>
      <c r="C16" s="658">
        <v>180.48</v>
      </c>
      <c r="D16" s="1792">
        <v>4246633</v>
      </c>
      <c r="E16" s="427"/>
      <c r="F16" s="4744" t="s">
        <v>2792</v>
      </c>
      <c r="G16" s="4729" t="s">
        <v>40</v>
      </c>
      <c r="H16" s="658">
        <v>6925.5</v>
      </c>
      <c r="I16" s="1792">
        <v>34136823</v>
      </c>
      <c r="J16" s="427"/>
      <c r="K16" s="2443"/>
    </row>
    <row r="17" spans="1:11" ht="18" customHeight="1" x14ac:dyDescent="0.25">
      <c r="A17" s="1375" t="s">
        <v>2478</v>
      </c>
      <c r="B17" s="3289" t="s">
        <v>40</v>
      </c>
      <c r="C17" s="658">
        <v>212.26</v>
      </c>
      <c r="D17" s="1792">
        <v>4247326</v>
      </c>
      <c r="E17" s="427"/>
      <c r="F17" s="1375" t="s">
        <v>2478</v>
      </c>
      <c r="G17" s="3289" t="s">
        <v>40</v>
      </c>
      <c r="H17" s="659">
        <v>5572.99</v>
      </c>
      <c r="I17" s="1793">
        <v>34168072</v>
      </c>
      <c r="J17" s="427"/>
      <c r="K17" s="2443"/>
    </row>
    <row r="18" spans="1:11" ht="18" customHeight="1" x14ac:dyDescent="0.25">
      <c r="A18" s="3032" t="s">
        <v>2502</v>
      </c>
      <c r="B18" s="3289" t="s">
        <v>40</v>
      </c>
      <c r="C18" s="698">
        <v>237.55</v>
      </c>
      <c r="D18" s="3016">
        <v>4247327</v>
      </c>
      <c r="E18" s="427"/>
      <c r="F18" s="3034" t="s">
        <v>2585</v>
      </c>
      <c r="G18" s="1835"/>
      <c r="H18" s="657">
        <v>30</v>
      </c>
      <c r="I18" s="3016">
        <v>34188143</v>
      </c>
      <c r="J18" s="427"/>
      <c r="K18" s="2443"/>
    </row>
    <row r="19" spans="1:11" ht="18" customHeight="1" x14ac:dyDescent="0.25">
      <c r="A19" s="4632" t="s">
        <v>2495</v>
      </c>
      <c r="B19" s="3015" t="s">
        <v>40</v>
      </c>
      <c r="C19" s="657">
        <v>159.88</v>
      </c>
      <c r="D19" s="3016">
        <v>4256814</v>
      </c>
      <c r="E19" s="427"/>
      <c r="F19" s="3286" t="s">
        <v>2479</v>
      </c>
      <c r="G19" s="3188" t="s">
        <v>40</v>
      </c>
      <c r="H19" s="657">
        <v>5502.01</v>
      </c>
      <c r="I19" s="3016">
        <v>34209408</v>
      </c>
      <c r="J19" s="427"/>
      <c r="K19" s="2443"/>
    </row>
    <row r="20" spans="1:11" ht="18" customHeight="1" x14ac:dyDescent="0.25">
      <c r="A20" s="3286" t="s">
        <v>2002</v>
      </c>
      <c r="B20" s="3188" t="s">
        <v>40</v>
      </c>
      <c r="C20" s="3191">
        <v>127.46</v>
      </c>
      <c r="D20" s="3190">
        <v>4451326</v>
      </c>
      <c r="E20" s="427"/>
      <c r="F20" s="3293" t="s">
        <v>2502</v>
      </c>
      <c r="G20" s="4727" t="s">
        <v>40</v>
      </c>
      <c r="H20" s="3191">
        <v>8531.5300000000007</v>
      </c>
      <c r="I20" s="3190">
        <v>34143607</v>
      </c>
      <c r="J20" s="427"/>
      <c r="K20" s="2443"/>
    </row>
    <row r="21" spans="1:11" ht="18" customHeight="1" x14ac:dyDescent="0.25">
      <c r="A21" s="2955" t="s">
        <v>2482</v>
      </c>
      <c r="B21" s="335" t="s">
        <v>40</v>
      </c>
      <c r="C21" s="697">
        <v>120.34</v>
      </c>
      <c r="D21" s="3016">
        <v>4453161</v>
      </c>
      <c r="E21" s="427"/>
      <c r="F21" s="2974" t="s">
        <v>2469</v>
      </c>
      <c r="G21" s="563" t="s">
        <v>40</v>
      </c>
      <c r="H21" s="3285">
        <v>7694.8</v>
      </c>
      <c r="I21" s="3019">
        <v>34268930</v>
      </c>
      <c r="J21" s="427"/>
      <c r="K21" s="2443"/>
    </row>
    <row r="22" spans="1:11" ht="18" customHeight="1" x14ac:dyDescent="0.25">
      <c r="A22" s="3286" t="s">
        <v>2479</v>
      </c>
      <c r="B22" s="3188" t="s">
        <v>40</v>
      </c>
      <c r="C22" s="657">
        <v>148.84</v>
      </c>
      <c r="D22" s="3016">
        <v>4456265</v>
      </c>
      <c r="E22" s="427"/>
      <c r="F22" s="1688" t="s">
        <v>2002</v>
      </c>
      <c r="G22" s="3015" t="s">
        <v>40</v>
      </c>
      <c r="H22" s="657">
        <v>703.24</v>
      </c>
      <c r="I22" s="3016">
        <v>34462140</v>
      </c>
      <c r="J22" s="427"/>
      <c r="K22" s="2443"/>
    </row>
    <row r="23" spans="1:11" ht="18" customHeight="1" x14ac:dyDescent="0.25">
      <c r="A23" s="2444" t="s">
        <v>1835</v>
      </c>
      <c r="B23" s="335"/>
      <c r="C23" s="658">
        <f>9.9+1</f>
        <v>10.9</v>
      </c>
      <c r="D23" s="457">
        <v>4635359</v>
      </c>
      <c r="E23" s="427"/>
      <c r="F23" s="4632" t="s">
        <v>2495</v>
      </c>
      <c r="G23" s="335" t="s">
        <v>40</v>
      </c>
      <c r="H23" s="658">
        <v>749.5</v>
      </c>
      <c r="I23" s="457">
        <v>34468038</v>
      </c>
      <c r="J23" s="427"/>
      <c r="K23" s="2443"/>
    </row>
    <row r="24" spans="1:11" ht="18" customHeight="1" x14ac:dyDescent="0.25">
      <c r="A24" s="2976" t="s">
        <v>2190</v>
      </c>
      <c r="B24" s="1384" t="s">
        <v>40</v>
      </c>
      <c r="C24" s="658">
        <v>30.8</v>
      </c>
      <c r="D24" s="1566">
        <v>4649435</v>
      </c>
      <c r="E24" s="429"/>
      <c r="F24" s="493" t="s">
        <v>575</v>
      </c>
      <c r="G24" s="3284"/>
      <c r="H24" s="658">
        <v>77.900000000000006</v>
      </c>
      <c r="I24" s="1792">
        <v>35503164</v>
      </c>
      <c r="J24" s="427"/>
      <c r="K24" s="2443"/>
    </row>
    <row r="25" spans="1:11" ht="18" customHeight="1" x14ac:dyDescent="0.25">
      <c r="A25" s="1688" t="s">
        <v>921</v>
      </c>
      <c r="B25" s="580"/>
      <c r="C25" s="658">
        <v>9.9</v>
      </c>
      <c r="D25" s="1754">
        <v>4709672</v>
      </c>
      <c r="E25" s="427"/>
      <c r="F25" s="2444" t="s">
        <v>1847</v>
      </c>
      <c r="G25" s="335" t="s">
        <v>40</v>
      </c>
      <c r="H25" s="658">
        <f>21.17+11</f>
        <v>32.17</v>
      </c>
      <c r="I25" s="1754">
        <v>35759758</v>
      </c>
      <c r="J25" s="427"/>
      <c r="K25" s="2443"/>
    </row>
    <row r="26" spans="1:11" ht="18" customHeight="1" x14ac:dyDescent="0.25">
      <c r="A26" s="2974" t="s">
        <v>2585</v>
      </c>
      <c r="B26" s="2043"/>
      <c r="C26" s="658">
        <v>3</v>
      </c>
      <c r="D26" s="1792">
        <v>5378398</v>
      </c>
      <c r="E26" s="427"/>
      <c r="F26" s="2444" t="s">
        <v>1835</v>
      </c>
      <c r="G26" s="2043"/>
      <c r="H26" s="659">
        <f>253.464+13</f>
        <v>266.464</v>
      </c>
      <c r="I26" s="1793">
        <v>35767197</v>
      </c>
      <c r="J26" s="427"/>
      <c r="K26" s="2443"/>
    </row>
    <row r="27" spans="1:11" ht="18" customHeight="1" x14ac:dyDescent="0.25">
      <c r="A27" s="1390" t="s">
        <v>575</v>
      </c>
      <c r="B27" s="2050"/>
      <c r="C27" s="659">
        <v>6</v>
      </c>
      <c r="D27" s="1793">
        <v>5411174</v>
      </c>
      <c r="E27" s="427"/>
      <c r="F27" s="2975" t="s">
        <v>2190</v>
      </c>
      <c r="G27" s="2043" t="s">
        <v>40</v>
      </c>
      <c r="H27" s="658">
        <v>1938</v>
      </c>
      <c r="I27" s="1792">
        <v>37406097</v>
      </c>
      <c r="J27" s="427"/>
      <c r="K27" s="2443"/>
    </row>
    <row r="28" spans="1:11" ht="18" customHeight="1" x14ac:dyDescent="0.25">
      <c r="A28" s="2979" t="s">
        <v>2217</v>
      </c>
      <c r="B28" s="1803"/>
      <c r="C28" s="658">
        <v>7.3</v>
      </c>
      <c r="D28" s="1792">
        <v>5413187</v>
      </c>
      <c r="E28" s="427"/>
      <c r="F28" s="1390" t="s">
        <v>2482</v>
      </c>
      <c r="G28" s="1803" t="s">
        <v>40</v>
      </c>
      <c r="H28" s="658">
        <v>4490.8500000000004</v>
      </c>
      <c r="I28" s="1792">
        <v>38492025</v>
      </c>
      <c r="J28" s="427"/>
      <c r="K28" s="2443"/>
    </row>
    <row r="29" spans="1:11" ht="18" customHeight="1" x14ac:dyDescent="0.25">
      <c r="A29" s="1688" t="s">
        <v>1792</v>
      </c>
      <c r="B29" s="573"/>
      <c r="C29" s="660">
        <v>10.72</v>
      </c>
      <c r="D29" s="457">
        <v>5418801</v>
      </c>
      <c r="E29" s="427"/>
      <c r="F29" s="2975" t="s">
        <v>2621</v>
      </c>
      <c r="G29" s="335"/>
      <c r="H29" s="657">
        <v>9145.1</v>
      </c>
      <c r="I29" s="457">
        <v>38511942</v>
      </c>
      <c r="J29" s="427"/>
      <c r="K29" s="2443"/>
    </row>
    <row r="30" spans="1:11" ht="18" customHeight="1" x14ac:dyDescent="0.25">
      <c r="A30" s="2976" t="s">
        <v>2621</v>
      </c>
      <c r="B30" s="1384"/>
      <c r="C30" s="658">
        <v>1602.8</v>
      </c>
      <c r="D30" s="457">
        <v>5431063</v>
      </c>
      <c r="E30" s="427"/>
      <c r="F30" s="1488" t="s">
        <v>1792</v>
      </c>
      <c r="G30" s="3095"/>
      <c r="H30" s="658">
        <v>70.239999999999995</v>
      </c>
      <c r="I30" s="457">
        <v>38544748</v>
      </c>
      <c r="J30" s="427"/>
      <c r="K30" s="2443"/>
    </row>
    <row r="31" spans="1:11" ht="18" customHeight="1" x14ac:dyDescent="0.25">
      <c r="A31" s="1455" t="s">
        <v>748</v>
      </c>
      <c r="B31" s="335" t="s">
        <v>40</v>
      </c>
      <c r="C31" s="657">
        <v>86.65</v>
      </c>
      <c r="D31" s="476">
        <v>5463098</v>
      </c>
      <c r="E31" s="427"/>
      <c r="F31" s="2960" t="s">
        <v>2623</v>
      </c>
      <c r="G31" s="335"/>
      <c r="H31" s="658">
        <v>521.29999999999995</v>
      </c>
      <c r="I31" s="457">
        <v>38547324</v>
      </c>
      <c r="J31" s="427"/>
      <c r="K31" s="2443"/>
    </row>
    <row r="32" spans="1:11" ht="18" customHeight="1" x14ac:dyDescent="0.25">
      <c r="A32" s="2961" t="s">
        <v>2623</v>
      </c>
      <c r="B32" s="335"/>
      <c r="C32" s="658">
        <v>74.099999999999994</v>
      </c>
      <c r="D32" s="457">
        <v>5473357</v>
      </c>
      <c r="E32" s="427"/>
      <c r="F32" s="4725" t="s">
        <v>2556</v>
      </c>
      <c r="G32" s="335"/>
      <c r="H32" s="658">
        <v>49.68</v>
      </c>
      <c r="I32" s="457">
        <v>38551755</v>
      </c>
      <c r="J32" s="427"/>
      <c r="K32" s="2443"/>
    </row>
    <row r="33" spans="1:11" ht="18" customHeight="1" x14ac:dyDescent="0.25">
      <c r="A33" s="1387" t="s">
        <v>2483</v>
      </c>
      <c r="B33" s="563" t="s">
        <v>40</v>
      </c>
      <c r="C33" s="659">
        <v>522.84</v>
      </c>
      <c r="D33" s="464">
        <v>5474994</v>
      </c>
      <c r="E33" s="427"/>
      <c r="F33" s="1685" t="s">
        <v>748</v>
      </c>
      <c r="G33" s="335" t="s">
        <v>40</v>
      </c>
      <c r="H33" s="660">
        <v>598.20000000000005</v>
      </c>
      <c r="I33" s="476">
        <v>38556404</v>
      </c>
      <c r="J33" s="427"/>
      <c r="K33" s="2443"/>
    </row>
    <row r="34" spans="1:11" ht="18" customHeight="1" x14ac:dyDescent="0.25">
      <c r="A34" s="3283" t="s">
        <v>2484</v>
      </c>
      <c r="B34" s="1687" t="s">
        <v>40</v>
      </c>
      <c r="C34" s="658">
        <v>659.34</v>
      </c>
      <c r="D34" s="438">
        <v>5475221</v>
      </c>
      <c r="E34" s="427"/>
      <c r="F34" s="2446" t="s">
        <v>2484</v>
      </c>
      <c r="G34" s="335" t="s">
        <v>40</v>
      </c>
      <c r="H34" s="658">
        <v>4077.4450000000002</v>
      </c>
      <c r="I34" s="438">
        <v>38557651</v>
      </c>
      <c r="J34" s="427"/>
      <c r="K34" s="2443"/>
    </row>
    <row r="35" spans="1:11" ht="18" customHeight="1" x14ac:dyDescent="0.25">
      <c r="A35" s="495" t="s">
        <v>1833</v>
      </c>
      <c r="B35" s="335" t="s">
        <v>40</v>
      </c>
      <c r="C35" s="659">
        <v>27.331</v>
      </c>
      <c r="D35" s="455">
        <v>5480482</v>
      </c>
      <c r="E35" s="427"/>
      <c r="F35" s="493" t="s">
        <v>2483</v>
      </c>
      <c r="G35" s="563" t="s">
        <v>40</v>
      </c>
      <c r="H35" s="658">
        <v>3694.6</v>
      </c>
      <c r="I35" s="455">
        <v>38557885</v>
      </c>
      <c r="J35" s="427"/>
      <c r="K35" s="2443"/>
    </row>
    <row r="36" spans="1:11" ht="18" customHeight="1" x14ac:dyDescent="0.25">
      <c r="A36" s="1488" t="s">
        <v>1101</v>
      </c>
      <c r="B36" s="573"/>
      <c r="C36" s="659">
        <v>46.048000000000002</v>
      </c>
      <c r="D36" s="440">
        <v>5493405</v>
      </c>
      <c r="E36" s="427"/>
      <c r="F36" s="1390" t="s">
        <v>1833</v>
      </c>
      <c r="G36" s="335" t="s">
        <v>40</v>
      </c>
      <c r="H36" s="658">
        <v>78.156000000000006</v>
      </c>
      <c r="I36" s="438">
        <v>38559187</v>
      </c>
      <c r="J36" s="427"/>
      <c r="K36" s="2443"/>
    </row>
    <row r="37" spans="1:11" ht="18" customHeight="1" x14ac:dyDescent="0.25">
      <c r="A37" s="1768" t="s">
        <v>1826</v>
      </c>
      <c r="B37" s="569" t="s">
        <v>40</v>
      </c>
      <c r="C37" s="658">
        <v>7.2539999999999996</v>
      </c>
      <c r="D37" s="438">
        <v>5497818</v>
      </c>
      <c r="E37" s="427"/>
      <c r="F37" s="1455" t="s">
        <v>1758</v>
      </c>
      <c r="G37" s="572"/>
      <c r="H37" s="658">
        <v>68.3</v>
      </c>
      <c r="I37" s="440">
        <v>38565168</v>
      </c>
      <c r="J37" s="427"/>
      <c r="K37" s="2443"/>
    </row>
    <row r="38" spans="1:11" ht="18" customHeight="1" x14ac:dyDescent="0.25">
      <c r="A38" s="1455" t="s">
        <v>1790</v>
      </c>
      <c r="B38" s="573"/>
      <c r="C38" s="658">
        <v>2.7610000000000001</v>
      </c>
      <c r="D38" s="438">
        <v>5500064</v>
      </c>
      <c r="E38" s="427"/>
      <c r="F38" s="2975" t="s">
        <v>2624</v>
      </c>
      <c r="G38" s="569" t="s">
        <v>40</v>
      </c>
      <c r="H38" s="658">
        <v>12.5</v>
      </c>
      <c r="I38" s="438">
        <v>38571133</v>
      </c>
      <c r="J38" s="427"/>
      <c r="K38" s="2443"/>
    </row>
    <row r="39" spans="1:11" ht="18" customHeight="1" x14ac:dyDescent="0.25">
      <c r="A39" s="1390" t="s">
        <v>1594</v>
      </c>
      <c r="B39" s="1364" t="s">
        <v>40</v>
      </c>
      <c r="C39" s="657">
        <v>1.218</v>
      </c>
      <c r="D39" s="456">
        <v>5501842</v>
      </c>
      <c r="E39" s="427"/>
      <c r="F39" s="1488" t="s">
        <v>2135</v>
      </c>
      <c r="G39" s="335" t="s">
        <v>40</v>
      </c>
      <c r="H39" s="657">
        <v>69.2</v>
      </c>
      <c r="I39" s="456">
        <v>38571473</v>
      </c>
      <c r="J39" s="427"/>
      <c r="K39" s="2443"/>
    </row>
    <row r="40" spans="1:11" ht="18" customHeight="1" x14ac:dyDescent="0.25">
      <c r="A40" s="1829" t="s">
        <v>2558</v>
      </c>
      <c r="B40" s="571"/>
      <c r="C40" s="658">
        <v>37.200000000000003</v>
      </c>
      <c r="D40" s="455">
        <v>5508014</v>
      </c>
      <c r="E40" s="427"/>
      <c r="F40" s="1724" t="s">
        <v>1756</v>
      </c>
      <c r="G40" s="1384" t="s">
        <v>40</v>
      </c>
      <c r="H40" s="659">
        <v>18.960999999999999</v>
      </c>
      <c r="I40" s="464">
        <v>38572268</v>
      </c>
      <c r="J40" s="427"/>
      <c r="K40" s="2443"/>
    </row>
    <row r="41" spans="1:11" ht="18" customHeight="1" x14ac:dyDescent="0.25">
      <c r="A41" s="518" t="s">
        <v>1793</v>
      </c>
      <c r="B41" s="1723"/>
      <c r="C41" s="658">
        <v>3.5</v>
      </c>
      <c r="D41" s="438">
        <v>5517633</v>
      </c>
      <c r="E41" s="427"/>
      <c r="F41" s="511" t="s">
        <v>2026</v>
      </c>
      <c r="G41" s="1364"/>
      <c r="H41" s="658">
        <v>8.7449999999999992</v>
      </c>
      <c r="I41" s="457">
        <v>38578411</v>
      </c>
      <c r="J41" s="427"/>
      <c r="K41" s="2443"/>
    </row>
    <row r="42" spans="1:11" ht="18" customHeight="1" x14ac:dyDescent="0.25">
      <c r="A42" s="1691" t="s">
        <v>578</v>
      </c>
      <c r="B42" s="1384" t="s">
        <v>40</v>
      </c>
      <c r="C42" s="657">
        <v>4.109</v>
      </c>
      <c r="D42" s="457">
        <v>5520016</v>
      </c>
      <c r="E42" s="427"/>
      <c r="F42" s="2977" t="s">
        <v>2134</v>
      </c>
      <c r="G42" s="1384"/>
      <c r="H42" s="657">
        <v>31.6</v>
      </c>
      <c r="I42" s="457">
        <v>38579548</v>
      </c>
      <c r="J42" s="427"/>
      <c r="K42" s="2443"/>
    </row>
    <row r="43" spans="1:11" ht="18" customHeight="1" x14ac:dyDescent="0.25">
      <c r="A43" s="2458" t="s">
        <v>1847</v>
      </c>
      <c r="B43" s="1384" t="s">
        <v>40</v>
      </c>
      <c r="C43" s="659">
        <f>1.771+1</f>
        <v>2.7709999999999999</v>
      </c>
      <c r="D43" s="464">
        <v>5524232</v>
      </c>
      <c r="E43" s="427"/>
      <c r="F43" s="2083" t="s">
        <v>1826</v>
      </c>
      <c r="G43" s="1364" t="s">
        <v>40</v>
      </c>
      <c r="H43" s="658">
        <v>40.784999999999997</v>
      </c>
      <c r="I43" s="457">
        <v>38580001</v>
      </c>
      <c r="J43" s="427"/>
      <c r="K43" s="2443"/>
    </row>
    <row r="44" spans="1:11" ht="18" customHeight="1" x14ac:dyDescent="0.25">
      <c r="A44" s="1374" t="s">
        <v>1758</v>
      </c>
      <c r="B44" s="1400"/>
      <c r="C44" s="659">
        <v>10.7</v>
      </c>
      <c r="D44" s="464">
        <v>5535762</v>
      </c>
      <c r="E44" s="427"/>
      <c r="F44" s="523" t="s">
        <v>2152</v>
      </c>
      <c r="G44" s="571" t="s">
        <v>40</v>
      </c>
      <c r="H44" s="658">
        <v>7</v>
      </c>
      <c r="I44" s="439">
        <v>38580085</v>
      </c>
      <c r="J44" s="427"/>
      <c r="K44" s="2443"/>
    </row>
    <row r="45" spans="1:11" ht="18" customHeight="1" x14ac:dyDescent="0.25">
      <c r="A45" s="1390" t="s">
        <v>1711</v>
      </c>
      <c r="B45" s="1364" t="s">
        <v>40</v>
      </c>
      <c r="C45" s="658">
        <v>0.94</v>
      </c>
      <c r="D45" s="457">
        <v>5536197</v>
      </c>
      <c r="E45" s="427"/>
      <c r="F45" s="2448" t="s">
        <v>1836</v>
      </c>
      <c r="G45" s="335" t="s">
        <v>40</v>
      </c>
      <c r="H45" s="658">
        <f>9.364+9</f>
        <v>18.364000000000001</v>
      </c>
      <c r="I45" s="438">
        <v>38580093</v>
      </c>
      <c r="J45" s="427"/>
      <c r="K45" s="2443"/>
    </row>
    <row r="46" spans="1:11" ht="18" customHeight="1" x14ac:dyDescent="0.25">
      <c r="A46" s="523" t="s">
        <v>2556</v>
      </c>
      <c r="B46" s="335"/>
      <c r="C46" s="697">
        <v>7.14</v>
      </c>
      <c r="D46" s="438">
        <v>5537586</v>
      </c>
      <c r="E46" s="427"/>
      <c r="F46" s="493" t="s">
        <v>1767</v>
      </c>
      <c r="G46" s="573"/>
      <c r="H46" s="659">
        <v>2</v>
      </c>
      <c r="I46" s="440">
        <v>38585124</v>
      </c>
      <c r="J46" s="427"/>
      <c r="K46" s="2443"/>
    </row>
    <row r="47" spans="1:11" ht="18" customHeight="1" x14ac:dyDescent="0.25">
      <c r="A47" s="2978" t="s">
        <v>2134</v>
      </c>
      <c r="B47" s="335"/>
      <c r="C47" s="657">
        <v>7.1</v>
      </c>
      <c r="D47" s="442">
        <v>5543819</v>
      </c>
      <c r="E47" s="427"/>
      <c r="F47" s="493" t="s">
        <v>2625</v>
      </c>
      <c r="G47" s="335" t="s">
        <v>40</v>
      </c>
      <c r="H47" s="658">
        <v>9.65</v>
      </c>
      <c r="I47" s="438">
        <v>38586887</v>
      </c>
      <c r="J47" s="427"/>
      <c r="K47" s="2443"/>
    </row>
    <row r="48" spans="1:11" ht="18" customHeight="1" x14ac:dyDescent="0.25">
      <c r="A48" s="511" t="s">
        <v>2026</v>
      </c>
      <c r="B48" s="335"/>
      <c r="C48" s="657">
        <v>1.3839999999999999</v>
      </c>
      <c r="D48" s="457">
        <v>5544245</v>
      </c>
      <c r="E48" s="427"/>
      <c r="F48" s="511" t="s">
        <v>1594</v>
      </c>
      <c r="G48" s="335" t="s">
        <v>40</v>
      </c>
      <c r="H48" s="657">
        <v>7.7549999999999999</v>
      </c>
      <c r="I48" s="457">
        <v>38591767</v>
      </c>
      <c r="J48" s="427"/>
      <c r="K48" s="2443"/>
    </row>
    <row r="49" spans="1:11" ht="18" customHeight="1" x14ac:dyDescent="0.25">
      <c r="A49" s="497" t="s">
        <v>2135</v>
      </c>
      <c r="B49" s="335" t="s">
        <v>40</v>
      </c>
      <c r="C49" s="658">
        <v>8.6999999999999993</v>
      </c>
      <c r="D49" s="438">
        <v>5549372</v>
      </c>
      <c r="E49" s="427"/>
      <c r="F49" s="1500" t="s">
        <v>1793</v>
      </c>
      <c r="G49" s="563"/>
      <c r="H49" s="658">
        <v>22.550999999999998</v>
      </c>
      <c r="I49" s="438">
        <v>38597973</v>
      </c>
      <c r="J49" s="427"/>
      <c r="K49" s="2443"/>
    </row>
    <row r="50" spans="1:11" ht="18" customHeight="1" x14ac:dyDescent="0.25">
      <c r="A50" s="523" t="s">
        <v>2624</v>
      </c>
      <c r="B50" s="335" t="s">
        <v>40</v>
      </c>
      <c r="C50" s="658">
        <v>1.4</v>
      </c>
      <c r="D50" s="438">
        <v>5550493</v>
      </c>
      <c r="E50" s="427"/>
      <c r="F50" s="511" t="s">
        <v>1711</v>
      </c>
      <c r="G50" s="335" t="s">
        <v>40</v>
      </c>
      <c r="H50" s="658">
        <v>2.5579999999999998</v>
      </c>
      <c r="I50" s="438">
        <v>38605391</v>
      </c>
      <c r="J50" s="427"/>
      <c r="K50" s="2443"/>
    </row>
    <row r="51" spans="1:11" ht="18" customHeight="1" x14ac:dyDescent="0.25">
      <c r="A51" s="2449" t="s">
        <v>1836</v>
      </c>
      <c r="B51" s="335" t="s">
        <v>40</v>
      </c>
      <c r="C51" s="659">
        <f>6.3+1</f>
        <v>7.3</v>
      </c>
      <c r="D51" s="464">
        <v>5551109</v>
      </c>
      <c r="E51" s="427"/>
      <c r="F51" s="1390" t="s">
        <v>1790</v>
      </c>
      <c r="G51" s="573"/>
      <c r="H51" s="659">
        <v>16.760000000000002</v>
      </c>
      <c r="I51" s="464">
        <v>38605520</v>
      </c>
      <c r="J51" s="427"/>
      <c r="K51" s="2443"/>
    </row>
    <row r="52" spans="1:11" ht="18" customHeight="1" x14ac:dyDescent="0.25">
      <c r="A52" s="497" t="s">
        <v>2625</v>
      </c>
      <c r="B52" s="601" t="s">
        <v>40</v>
      </c>
      <c r="C52" s="659">
        <v>2.08</v>
      </c>
      <c r="D52" s="440">
        <v>5551167</v>
      </c>
      <c r="E52" s="427"/>
      <c r="F52" s="497" t="s">
        <v>578</v>
      </c>
      <c r="G52" s="575" t="s">
        <v>40</v>
      </c>
      <c r="H52" s="659">
        <v>123.2</v>
      </c>
      <c r="I52" s="440">
        <v>38636857</v>
      </c>
      <c r="J52" s="427"/>
      <c r="K52" s="2443"/>
    </row>
    <row r="53" spans="1:11" ht="18" customHeight="1" x14ac:dyDescent="0.25">
      <c r="A53" s="497" t="s">
        <v>1767</v>
      </c>
      <c r="B53" s="573"/>
      <c r="C53" s="659">
        <v>1</v>
      </c>
      <c r="D53" s="440">
        <v>5551172</v>
      </c>
      <c r="E53" s="427"/>
      <c r="F53" s="2313" t="s">
        <v>2626</v>
      </c>
      <c r="G53" s="573"/>
      <c r="H53" s="659">
        <v>3.65</v>
      </c>
      <c r="I53" s="440">
        <v>38649023</v>
      </c>
      <c r="J53" s="427"/>
      <c r="K53" s="2443"/>
    </row>
    <row r="54" spans="1:11" ht="18" customHeight="1" x14ac:dyDescent="0.25">
      <c r="A54" s="2496" t="s">
        <v>2152</v>
      </c>
      <c r="B54" s="335" t="s">
        <v>40</v>
      </c>
      <c r="C54" s="658">
        <v>1</v>
      </c>
      <c r="D54" s="438">
        <v>5551207</v>
      </c>
      <c r="E54" s="427"/>
      <c r="F54" s="493" t="s">
        <v>1101</v>
      </c>
      <c r="G54" s="1686"/>
      <c r="H54" s="658">
        <v>301.25700000000001</v>
      </c>
      <c r="I54" s="239">
        <v>38649406</v>
      </c>
      <c r="J54" s="427"/>
      <c r="K54" s="2443"/>
    </row>
    <row r="55" spans="1:11" ht="18" customHeight="1" x14ac:dyDescent="0.25">
      <c r="A55" s="530" t="s">
        <v>487</v>
      </c>
      <c r="B55" s="644"/>
      <c r="C55" s="658">
        <v>8.4000000000000005E-2</v>
      </c>
      <c r="D55" s="239">
        <v>5553869</v>
      </c>
      <c r="E55" s="427"/>
      <c r="F55" s="1756" t="s">
        <v>487</v>
      </c>
      <c r="G55" s="448"/>
      <c r="H55" s="658">
        <v>3.5219999999999998</v>
      </c>
      <c r="I55" s="438">
        <v>38663246</v>
      </c>
      <c r="J55" s="427"/>
      <c r="K55" s="2443"/>
    </row>
    <row r="56" spans="1:11" ht="18" customHeight="1" x14ac:dyDescent="0.25">
      <c r="A56" s="1390" t="s">
        <v>1756</v>
      </c>
      <c r="B56" s="335" t="s">
        <v>40</v>
      </c>
      <c r="C56" s="659">
        <v>2.61</v>
      </c>
      <c r="D56" s="440">
        <v>5554272</v>
      </c>
      <c r="E56" s="427"/>
      <c r="F56" s="497" t="s">
        <v>1768</v>
      </c>
      <c r="G56" s="576"/>
      <c r="H56" s="659">
        <v>3</v>
      </c>
      <c r="I56" s="440">
        <v>38676857</v>
      </c>
      <c r="J56" s="427"/>
      <c r="K56" s="2443"/>
    </row>
    <row r="57" spans="1:11" ht="18" customHeight="1" x14ac:dyDescent="0.25">
      <c r="A57" s="523" t="s">
        <v>2626</v>
      </c>
      <c r="B57" s="576"/>
      <c r="C57" s="661">
        <v>0.51</v>
      </c>
      <c r="D57" s="444">
        <v>5556774</v>
      </c>
      <c r="E57" s="427"/>
      <c r="F57" s="518" t="s">
        <v>503</v>
      </c>
      <c r="G57" s="627"/>
      <c r="H57" s="659"/>
      <c r="I57" s="440">
        <v>38693750</v>
      </c>
      <c r="J57" s="427"/>
      <c r="K57" s="2443"/>
    </row>
    <row r="58" spans="1:11" ht="18" customHeight="1" x14ac:dyDescent="0.25">
      <c r="A58" s="497" t="s">
        <v>1768</v>
      </c>
      <c r="B58" s="573"/>
      <c r="C58" s="659">
        <v>1</v>
      </c>
      <c r="D58" s="440">
        <v>5558223</v>
      </c>
      <c r="E58" s="427"/>
      <c r="F58" s="1437" t="s">
        <v>1834</v>
      </c>
      <c r="G58" s="579" t="s">
        <v>40</v>
      </c>
      <c r="H58" s="658">
        <v>9.3640000000000008</v>
      </c>
      <c r="I58" s="438">
        <v>38693750</v>
      </c>
      <c r="J58" s="427"/>
      <c r="K58" s="2443"/>
    </row>
    <row r="59" spans="1:11" ht="18" customHeight="1" x14ac:dyDescent="0.25">
      <c r="A59" s="2450" t="s">
        <v>1834</v>
      </c>
      <c r="B59" s="335" t="s">
        <v>40</v>
      </c>
      <c r="C59" s="659">
        <v>6.2869999999999999</v>
      </c>
      <c r="D59" s="464">
        <v>5559945</v>
      </c>
      <c r="E59" s="427"/>
      <c r="F59" s="2956" t="s">
        <v>2558</v>
      </c>
      <c r="G59" s="335"/>
      <c r="H59" s="1498">
        <v>260</v>
      </c>
      <c r="I59" s="457">
        <v>38743010</v>
      </c>
      <c r="J59" s="427"/>
      <c r="K59" s="2443"/>
    </row>
    <row r="60" spans="1:11" ht="18" customHeight="1" x14ac:dyDescent="0.25">
      <c r="A60" s="498" t="s">
        <v>503</v>
      </c>
      <c r="B60" s="580"/>
      <c r="C60" s="658"/>
      <c r="D60" s="457">
        <v>5559945</v>
      </c>
      <c r="E60" s="427"/>
      <c r="F60" s="2313" t="s">
        <v>1100</v>
      </c>
      <c r="G60" s="601" t="s">
        <v>40</v>
      </c>
      <c r="H60" s="1498">
        <v>9.6</v>
      </c>
      <c r="I60" s="457">
        <v>38760150</v>
      </c>
      <c r="J60" s="427"/>
      <c r="K60" s="2443"/>
    </row>
    <row r="61" spans="1:11" ht="18" customHeight="1" x14ac:dyDescent="0.25">
      <c r="A61" s="523" t="s">
        <v>1100</v>
      </c>
      <c r="B61" s="579" t="s">
        <v>40</v>
      </c>
      <c r="C61" s="659">
        <v>1</v>
      </c>
      <c r="D61" s="440">
        <v>5560190</v>
      </c>
      <c r="E61" s="427"/>
      <c r="F61" s="493" t="s">
        <v>1759</v>
      </c>
      <c r="G61" s="578"/>
      <c r="H61" s="676">
        <v>23</v>
      </c>
      <c r="I61" s="464">
        <v>38780519</v>
      </c>
      <c r="J61" s="427"/>
      <c r="K61" s="2443"/>
    </row>
    <row r="62" spans="1:11" ht="18" customHeight="1" x14ac:dyDescent="0.25">
      <c r="A62" s="500" t="s">
        <v>1759</v>
      </c>
      <c r="B62" s="578"/>
      <c r="C62" s="713">
        <v>3</v>
      </c>
      <c r="D62" s="476">
        <v>5571367</v>
      </c>
      <c r="E62" s="429"/>
      <c r="F62" s="1457" t="s">
        <v>1102</v>
      </c>
      <c r="G62" s="335" t="s">
        <v>40</v>
      </c>
      <c r="H62" s="658">
        <v>7</v>
      </c>
      <c r="I62" s="440">
        <v>39028414</v>
      </c>
      <c r="J62" s="429"/>
      <c r="K62" s="2443"/>
    </row>
    <row r="63" spans="1:11" ht="18" customHeight="1" x14ac:dyDescent="0.25">
      <c r="A63" s="555" t="s">
        <v>1098</v>
      </c>
      <c r="B63" s="1497"/>
      <c r="C63" s="714">
        <v>2.504</v>
      </c>
      <c r="D63" s="438">
        <v>5573726</v>
      </c>
      <c r="E63" s="427"/>
      <c r="F63" s="493" t="s">
        <v>1832</v>
      </c>
      <c r="G63" s="566"/>
      <c r="H63" s="658">
        <v>253.464</v>
      </c>
      <c r="I63" s="438">
        <v>49926823</v>
      </c>
      <c r="J63" s="427"/>
      <c r="K63" s="2443"/>
    </row>
    <row r="64" spans="1:11" ht="18" customHeight="1" x14ac:dyDescent="0.25">
      <c r="A64" s="1457" t="s">
        <v>1102</v>
      </c>
      <c r="B64" s="583" t="s">
        <v>40</v>
      </c>
      <c r="C64" s="659">
        <v>1</v>
      </c>
      <c r="D64" s="440">
        <v>5592298</v>
      </c>
      <c r="E64" s="427"/>
      <c r="F64" s="2451" t="s">
        <v>1846</v>
      </c>
      <c r="G64" s="335" t="s">
        <v>40</v>
      </c>
      <c r="H64" s="658">
        <v>21.17</v>
      </c>
      <c r="I64" s="438">
        <v>49951908</v>
      </c>
      <c r="J64" s="427"/>
      <c r="K64" s="2443"/>
    </row>
    <row r="65" spans="1:11" ht="18" customHeight="1" x14ac:dyDescent="0.25">
      <c r="A65" s="2452" t="s">
        <v>1846</v>
      </c>
      <c r="B65" s="601" t="s">
        <v>40</v>
      </c>
      <c r="C65" s="659">
        <v>1.7709999999999999</v>
      </c>
      <c r="D65" s="440">
        <v>5643098</v>
      </c>
      <c r="E65" s="427"/>
      <c r="F65" s="524"/>
      <c r="G65" s="601"/>
      <c r="H65" s="659"/>
      <c r="I65" s="440"/>
      <c r="J65" s="427"/>
      <c r="K65" s="2443"/>
    </row>
    <row r="66" spans="1:11" ht="18" customHeight="1" x14ac:dyDescent="0.25">
      <c r="A66" s="142"/>
      <c r="B66" s="562"/>
      <c r="C66" s="677"/>
      <c r="D66" s="177"/>
      <c r="E66" s="427"/>
      <c r="F66" s="538"/>
      <c r="G66" s="575"/>
      <c r="H66" s="669"/>
      <c r="I66" s="445"/>
      <c r="J66" s="427"/>
      <c r="K66" s="2443"/>
    </row>
    <row r="67" spans="1:11" ht="18" customHeight="1" x14ac:dyDescent="0.25">
      <c r="A67" s="142"/>
      <c r="B67" s="562"/>
      <c r="C67" s="677"/>
      <c r="D67" s="177"/>
      <c r="E67" s="427"/>
      <c r="F67" s="538"/>
      <c r="G67" s="575"/>
      <c r="H67" s="669"/>
      <c r="I67" s="445"/>
      <c r="J67" s="427"/>
      <c r="K67" s="2443"/>
    </row>
    <row r="68" spans="1:11" ht="18" customHeight="1" x14ac:dyDescent="0.25">
      <c r="A68" s="525"/>
      <c r="B68" s="1453"/>
      <c r="C68" s="677"/>
      <c r="D68" s="1452"/>
      <c r="E68" s="427"/>
      <c r="F68" s="1460"/>
      <c r="G68" s="535"/>
      <c r="H68" s="656"/>
      <c r="I68" s="449"/>
      <c r="J68" s="427"/>
      <c r="K68" s="2443"/>
    </row>
    <row r="69" spans="1:11" ht="24" customHeight="1" x14ac:dyDescent="0.25">
      <c r="A69" s="1623" t="s">
        <v>1838</v>
      </c>
      <c r="B69" s="625"/>
      <c r="C69" s="2430" t="s">
        <v>480</v>
      </c>
      <c r="D69" s="450" t="s">
        <v>1624</v>
      </c>
      <c r="E69" s="427"/>
      <c r="F69" s="495" t="s">
        <v>1839</v>
      </c>
      <c r="G69" s="564"/>
      <c r="H69" s="2430" t="s">
        <v>480</v>
      </c>
      <c r="I69" s="469" t="s">
        <v>1624</v>
      </c>
      <c r="J69" s="427"/>
      <c r="K69" s="2443"/>
    </row>
    <row r="70" spans="1:11" ht="18" customHeight="1" x14ac:dyDescent="0.25">
      <c r="A70" s="4744" t="s">
        <v>2792</v>
      </c>
      <c r="B70" s="4730" t="s">
        <v>40</v>
      </c>
      <c r="C70" s="670">
        <v>440.07</v>
      </c>
      <c r="D70" s="458">
        <v>400626</v>
      </c>
      <c r="E70" s="427"/>
      <c r="F70" s="4744" t="s">
        <v>2792</v>
      </c>
      <c r="G70" s="4730" t="s">
        <v>40</v>
      </c>
      <c r="H70" s="670">
        <v>771.28</v>
      </c>
      <c r="I70" s="458">
        <v>9025746</v>
      </c>
      <c r="J70" s="427"/>
      <c r="K70" s="2443"/>
    </row>
    <row r="71" spans="1:11" ht="18" customHeight="1" x14ac:dyDescent="0.25">
      <c r="A71" s="4632" t="s">
        <v>2502</v>
      </c>
      <c r="B71" s="563" t="s">
        <v>40</v>
      </c>
      <c r="C71" s="657">
        <v>656.25</v>
      </c>
      <c r="D71" s="457">
        <v>401414</v>
      </c>
      <c r="E71" s="427"/>
      <c r="F71" s="4632" t="s">
        <v>2502</v>
      </c>
      <c r="G71" s="563" t="s">
        <v>40</v>
      </c>
      <c r="H71" s="657">
        <v>875.03</v>
      </c>
      <c r="I71" s="457">
        <v>9026900</v>
      </c>
      <c r="J71" s="427"/>
      <c r="K71" s="2443"/>
    </row>
    <row r="72" spans="1:11" ht="18" customHeight="1" x14ac:dyDescent="0.25">
      <c r="A72" s="2437" t="s">
        <v>2478</v>
      </c>
      <c r="B72" s="2850" t="s">
        <v>40</v>
      </c>
      <c r="C72" s="658">
        <v>454.4</v>
      </c>
      <c r="D72" s="1792">
        <v>401489</v>
      </c>
      <c r="E72" s="427"/>
      <c r="F72" s="2437" t="s">
        <v>2478</v>
      </c>
      <c r="G72" s="2850" t="s">
        <v>40</v>
      </c>
      <c r="H72" s="658">
        <v>688.12</v>
      </c>
      <c r="I72" s="1792">
        <v>9027087</v>
      </c>
      <c r="J72" s="427"/>
      <c r="K72" s="2443"/>
    </row>
    <row r="73" spans="1:11" ht="18" customHeight="1" x14ac:dyDescent="0.25">
      <c r="A73" s="3286" t="s">
        <v>2479</v>
      </c>
      <c r="B73" s="3188" t="s">
        <v>40</v>
      </c>
      <c r="C73" s="658">
        <v>327.48</v>
      </c>
      <c r="D73" s="3016">
        <v>402113</v>
      </c>
      <c r="E73" s="427"/>
      <c r="F73" s="2974" t="s">
        <v>2469</v>
      </c>
      <c r="G73" s="563" t="s">
        <v>40</v>
      </c>
      <c r="H73" s="658">
        <v>468.97</v>
      </c>
      <c r="I73" s="3016">
        <v>9076777</v>
      </c>
      <c r="J73" s="427"/>
      <c r="K73" s="2443"/>
    </row>
    <row r="74" spans="1:11" ht="18" customHeight="1" x14ac:dyDescent="0.25">
      <c r="A74" s="3286" t="s">
        <v>2482</v>
      </c>
      <c r="B74" s="3188" t="s">
        <v>40</v>
      </c>
      <c r="C74" s="3189">
        <v>246.58</v>
      </c>
      <c r="D74" s="3190">
        <v>408319</v>
      </c>
      <c r="E74" s="427"/>
      <c r="F74" s="4649" t="s">
        <v>2495</v>
      </c>
      <c r="G74" s="3188" t="s">
        <v>40</v>
      </c>
      <c r="H74" s="3191">
        <v>272.32</v>
      </c>
      <c r="I74" s="3190">
        <v>9096648</v>
      </c>
      <c r="J74" s="427"/>
      <c r="K74" s="2443"/>
    </row>
    <row r="75" spans="1:11" ht="18" customHeight="1" x14ac:dyDescent="0.25">
      <c r="A75" s="3034" t="s">
        <v>2469</v>
      </c>
      <c r="B75" s="3289" t="s">
        <v>40</v>
      </c>
      <c r="C75" s="657">
        <v>251.08</v>
      </c>
      <c r="D75" s="3016">
        <v>409795</v>
      </c>
      <c r="E75" s="427"/>
      <c r="F75" s="3034" t="s">
        <v>2621</v>
      </c>
      <c r="G75" s="1835"/>
      <c r="H75" s="657">
        <v>813.5</v>
      </c>
      <c r="I75" s="3016">
        <v>9560984</v>
      </c>
      <c r="J75" s="427"/>
      <c r="K75" s="2443"/>
    </row>
    <row r="76" spans="1:11" ht="18" customHeight="1" x14ac:dyDescent="0.25">
      <c r="A76" s="4632" t="s">
        <v>2495</v>
      </c>
      <c r="B76" s="3015" t="s">
        <v>40</v>
      </c>
      <c r="C76" s="657">
        <v>46.42</v>
      </c>
      <c r="D76" s="3016">
        <v>428563</v>
      </c>
      <c r="E76" s="427"/>
      <c r="F76" s="2957" t="s">
        <v>2627</v>
      </c>
      <c r="G76" s="3097"/>
      <c r="H76" s="657">
        <v>789.1</v>
      </c>
      <c r="I76" s="3016">
        <v>9596323</v>
      </c>
      <c r="J76" s="427"/>
      <c r="K76" s="2443"/>
    </row>
    <row r="77" spans="1:11" ht="18" customHeight="1" x14ac:dyDescent="0.25">
      <c r="A77" s="1688" t="s">
        <v>2002</v>
      </c>
      <c r="B77" s="3015" t="s">
        <v>40</v>
      </c>
      <c r="C77" s="657">
        <v>43.14</v>
      </c>
      <c r="D77" s="3016">
        <v>428571</v>
      </c>
      <c r="E77" s="427"/>
      <c r="F77" s="3286" t="s">
        <v>2479</v>
      </c>
      <c r="G77" s="3188" t="s">
        <v>40</v>
      </c>
      <c r="H77" s="657">
        <v>541.52</v>
      </c>
      <c r="I77" s="3016">
        <v>9604453</v>
      </c>
      <c r="J77" s="427"/>
      <c r="K77" s="2443"/>
    </row>
    <row r="78" spans="1:11" ht="18" customHeight="1" x14ac:dyDescent="0.25">
      <c r="A78" s="3287" t="s">
        <v>1847</v>
      </c>
      <c r="B78" s="1835" t="s">
        <v>40</v>
      </c>
      <c r="C78" s="658">
        <f>3.543+1</f>
        <v>4.5430000000000001</v>
      </c>
      <c r="D78" s="1793">
        <v>534072</v>
      </c>
      <c r="E78" s="427"/>
      <c r="F78" s="1375" t="s">
        <v>2002</v>
      </c>
      <c r="G78" s="1835" t="s">
        <v>40</v>
      </c>
      <c r="H78" s="658">
        <v>206.91</v>
      </c>
      <c r="I78" s="1792">
        <v>9627819</v>
      </c>
      <c r="J78" s="427"/>
      <c r="K78" s="2443"/>
    </row>
    <row r="79" spans="1:11" ht="18" customHeight="1" x14ac:dyDescent="0.25">
      <c r="A79" s="2976" t="s">
        <v>2190</v>
      </c>
      <c r="B79" s="1384" t="s">
        <v>40</v>
      </c>
      <c r="C79" s="658">
        <v>16.7</v>
      </c>
      <c r="D79" s="1566">
        <v>620415</v>
      </c>
      <c r="E79" s="429"/>
      <c r="F79" s="1488" t="s">
        <v>2482</v>
      </c>
      <c r="G79" s="1384" t="s">
        <v>40</v>
      </c>
      <c r="H79" s="658">
        <v>330.3</v>
      </c>
      <c r="I79" s="1792">
        <v>9634304</v>
      </c>
      <c r="J79" s="427"/>
      <c r="K79" s="2443"/>
    </row>
    <row r="80" spans="1:11" ht="18" customHeight="1" x14ac:dyDescent="0.25">
      <c r="A80" s="2983" t="s">
        <v>2217</v>
      </c>
      <c r="B80" s="2043"/>
      <c r="C80" s="658">
        <v>14.7</v>
      </c>
      <c r="D80" s="1792">
        <v>669043</v>
      </c>
      <c r="E80" s="429"/>
      <c r="F80" s="1410" t="s">
        <v>2623</v>
      </c>
      <c r="G80" s="2043"/>
      <c r="H80" s="658">
        <v>176.2</v>
      </c>
      <c r="I80" s="1792">
        <v>9936120</v>
      </c>
      <c r="J80" s="427"/>
      <c r="K80" s="2443"/>
    </row>
    <row r="81" spans="1:11" ht="18" customHeight="1" x14ac:dyDescent="0.25">
      <c r="A81" s="3098" t="s">
        <v>575</v>
      </c>
      <c r="B81" s="2050"/>
      <c r="C81" s="659">
        <v>24.995999999999999</v>
      </c>
      <c r="D81" s="1793">
        <v>671870</v>
      </c>
      <c r="E81" s="429"/>
      <c r="F81" s="2445" t="s">
        <v>2484</v>
      </c>
      <c r="G81" s="2043" t="s">
        <v>40</v>
      </c>
      <c r="H81" s="658">
        <v>336.44</v>
      </c>
      <c r="I81" s="1792">
        <v>9938052</v>
      </c>
      <c r="J81" s="427"/>
      <c r="K81" s="2443"/>
    </row>
    <row r="82" spans="1:11" ht="18" customHeight="1" x14ac:dyDescent="0.25">
      <c r="A82" s="2975" t="s">
        <v>2585</v>
      </c>
      <c r="B82" s="2043"/>
      <c r="C82" s="658">
        <v>3</v>
      </c>
      <c r="D82" s="1792">
        <v>697415</v>
      </c>
      <c r="E82" s="429"/>
      <c r="F82" s="2323" t="s">
        <v>2558</v>
      </c>
      <c r="G82" s="2043"/>
      <c r="H82" s="658">
        <v>158.1</v>
      </c>
      <c r="I82" s="1792">
        <v>9948208</v>
      </c>
      <c r="J82" s="427"/>
      <c r="K82" s="2443"/>
    </row>
    <row r="83" spans="1:11" ht="18" customHeight="1" x14ac:dyDescent="0.25">
      <c r="A83" s="2473" t="s">
        <v>2484</v>
      </c>
      <c r="B83" s="563" t="s">
        <v>40</v>
      </c>
      <c r="C83" s="658">
        <v>91.867000000000004</v>
      </c>
      <c r="D83" s="457">
        <v>791087</v>
      </c>
      <c r="E83" s="427"/>
      <c r="F83" s="1688" t="s">
        <v>748</v>
      </c>
      <c r="G83" s="335" t="s">
        <v>40</v>
      </c>
      <c r="H83" s="659">
        <v>182.25</v>
      </c>
      <c r="I83" s="464">
        <v>9958791</v>
      </c>
      <c r="J83" s="427"/>
      <c r="K83" s="2443"/>
    </row>
    <row r="84" spans="1:11" ht="18" customHeight="1" x14ac:dyDescent="0.25">
      <c r="A84" s="1488" t="s">
        <v>2483</v>
      </c>
      <c r="B84" s="1721" t="s">
        <v>40</v>
      </c>
      <c r="C84" s="658">
        <v>81.08</v>
      </c>
      <c r="D84" s="457">
        <v>791167</v>
      </c>
      <c r="E84" s="427"/>
      <c r="F84" s="499" t="s">
        <v>2483</v>
      </c>
      <c r="G84" s="1721" t="s">
        <v>40</v>
      </c>
      <c r="H84" s="658">
        <v>142.66</v>
      </c>
      <c r="I84" s="457">
        <v>9973112</v>
      </c>
      <c r="J84" s="427"/>
      <c r="K84" s="2443"/>
    </row>
    <row r="85" spans="1:11" ht="18" customHeight="1" x14ac:dyDescent="0.25">
      <c r="A85" s="2496" t="s">
        <v>2621</v>
      </c>
      <c r="B85" s="1384"/>
      <c r="C85" s="657">
        <v>236.1</v>
      </c>
      <c r="D85" s="457">
        <v>791248</v>
      </c>
      <c r="E85" s="427"/>
      <c r="F85" s="2464" t="s">
        <v>1835</v>
      </c>
      <c r="G85" s="1388"/>
      <c r="H85" s="657">
        <f>28.8+3</f>
        <v>31.8</v>
      </c>
      <c r="I85" s="457">
        <v>10206487</v>
      </c>
      <c r="J85" s="427"/>
      <c r="K85" s="2443"/>
    </row>
    <row r="86" spans="1:11" ht="18" customHeight="1" x14ac:dyDescent="0.25">
      <c r="A86" s="2966" t="s">
        <v>2627</v>
      </c>
      <c r="B86" s="563"/>
      <c r="C86" s="657">
        <v>209.3</v>
      </c>
      <c r="D86" s="333">
        <v>792464</v>
      </c>
      <c r="E86" s="427"/>
      <c r="F86" s="2313" t="s">
        <v>2190</v>
      </c>
      <c r="G86" s="601" t="s">
        <v>40</v>
      </c>
      <c r="H86" s="658">
        <v>60.6</v>
      </c>
      <c r="I86" s="457">
        <v>10408401</v>
      </c>
      <c r="J86" s="427"/>
      <c r="K86" s="2443"/>
    </row>
    <row r="87" spans="1:11" ht="18" customHeight="1" x14ac:dyDescent="0.25">
      <c r="A87" s="1390" t="s">
        <v>748</v>
      </c>
      <c r="B87" s="1364" t="s">
        <v>40</v>
      </c>
      <c r="C87" s="658">
        <v>11.98</v>
      </c>
      <c r="D87" s="464">
        <v>792726</v>
      </c>
      <c r="E87" s="427"/>
      <c r="F87" s="1685" t="s">
        <v>1792</v>
      </c>
      <c r="G87" s="567"/>
      <c r="H87" s="657">
        <v>31.75</v>
      </c>
      <c r="I87" s="333">
        <v>12532312</v>
      </c>
      <c r="J87" s="427"/>
      <c r="K87" s="2443"/>
    </row>
    <row r="88" spans="1:11" ht="18" customHeight="1" x14ac:dyDescent="0.25">
      <c r="A88" s="1726" t="s">
        <v>1792</v>
      </c>
      <c r="B88" s="573"/>
      <c r="C88" s="659">
        <v>2.0699999999999998</v>
      </c>
      <c r="D88" s="457">
        <v>794076</v>
      </c>
      <c r="E88" s="427"/>
      <c r="F88" s="1726" t="s">
        <v>575</v>
      </c>
      <c r="G88" s="568"/>
      <c r="H88" s="658">
        <v>30.2</v>
      </c>
      <c r="I88" s="457">
        <v>12574535</v>
      </c>
      <c r="J88" s="427"/>
      <c r="K88" s="2443"/>
    </row>
    <row r="89" spans="1:11" ht="18" customHeight="1" x14ac:dyDescent="0.25">
      <c r="A89" s="1455" t="s">
        <v>1101</v>
      </c>
      <c r="B89" s="2044"/>
      <c r="C89" s="659">
        <v>6.4450000000000003</v>
      </c>
      <c r="D89" s="1793">
        <v>795384</v>
      </c>
      <c r="E89" s="427"/>
      <c r="F89" s="2979" t="s">
        <v>2217</v>
      </c>
      <c r="G89" s="1790"/>
      <c r="H89" s="658">
        <v>17.8</v>
      </c>
      <c r="I89" s="1792">
        <v>12587531</v>
      </c>
      <c r="J89" s="427"/>
      <c r="K89" s="2443"/>
    </row>
    <row r="90" spans="1:11" ht="18" customHeight="1" x14ac:dyDescent="0.25">
      <c r="A90" s="1455" t="s">
        <v>2135</v>
      </c>
      <c r="B90" s="323" t="s">
        <v>40</v>
      </c>
      <c r="C90" s="697">
        <v>5.0999999999999996</v>
      </c>
      <c r="D90" s="438">
        <v>796373</v>
      </c>
      <c r="E90" s="427"/>
      <c r="F90" s="2496" t="s">
        <v>2585</v>
      </c>
      <c r="G90" s="335"/>
      <c r="H90" s="658">
        <v>8</v>
      </c>
      <c r="I90" s="438">
        <v>12596279</v>
      </c>
      <c r="J90" s="427"/>
      <c r="K90" s="2443"/>
    </row>
    <row r="91" spans="1:11" ht="18" customHeight="1" x14ac:dyDescent="0.25">
      <c r="A91" s="2958" t="s">
        <v>2623</v>
      </c>
      <c r="B91" s="335"/>
      <c r="C91" s="658">
        <v>11</v>
      </c>
      <c r="D91" s="464">
        <v>797500</v>
      </c>
      <c r="E91" s="427"/>
      <c r="F91" s="1387" t="s">
        <v>1833</v>
      </c>
      <c r="G91" s="335" t="s">
        <v>40</v>
      </c>
      <c r="H91" s="658">
        <v>42.97</v>
      </c>
      <c r="I91" s="457">
        <v>12676882</v>
      </c>
      <c r="J91" s="427"/>
      <c r="K91" s="2443"/>
    </row>
    <row r="92" spans="1:11" ht="18" customHeight="1" x14ac:dyDescent="0.25">
      <c r="A92" s="3017" t="s">
        <v>2556</v>
      </c>
      <c r="B92" s="563"/>
      <c r="C92" s="658">
        <v>1.27</v>
      </c>
      <c r="D92" s="457">
        <v>797573</v>
      </c>
      <c r="E92" s="427"/>
      <c r="F92" s="3288" t="s">
        <v>1847</v>
      </c>
      <c r="G92" s="335" t="s">
        <v>40</v>
      </c>
      <c r="H92" s="658">
        <f>2.27+1</f>
        <v>3.27</v>
      </c>
      <c r="I92" s="457">
        <v>12701610</v>
      </c>
      <c r="J92" s="427"/>
      <c r="K92" s="2443"/>
    </row>
    <row r="93" spans="1:11" ht="18" customHeight="1" x14ac:dyDescent="0.25">
      <c r="A93" s="495" t="s">
        <v>1756</v>
      </c>
      <c r="B93" s="335" t="s">
        <v>40</v>
      </c>
      <c r="C93" s="659">
        <v>0.79400000000000004</v>
      </c>
      <c r="D93" s="439">
        <v>797635</v>
      </c>
      <c r="E93" s="427"/>
      <c r="F93" s="2448" t="s">
        <v>1836</v>
      </c>
      <c r="G93" s="335" t="s">
        <v>40</v>
      </c>
      <c r="H93" s="659">
        <f>73.8+4</f>
        <v>77.8</v>
      </c>
      <c r="I93" s="439">
        <v>12703427</v>
      </c>
      <c r="J93" s="427"/>
      <c r="K93" s="2443"/>
    </row>
    <row r="94" spans="1:11" ht="18" customHeight="1" x14ac:dyDescent="0.25">
      <c r="A94" s="2978" t="s">
        <v>2134</v>
      </c>
      <c r="B94" s="335"/>
      <c r="C94" s="697">
        <v>1.6</v>
      </c>
      <c r="D94" s="438">
        <v>797811</v>
      </c>
      <c r="E94" s="427"/>
      <c r="F94" s="1757" t="s">
        <v>1826</v>
      </c>
      <c r="G94" s="335" t="s">
        <v>40</v>
      </c>
      <c r="H94" s="658">
        <v>16.686</v>
      </c>
      <c r="I94" s="438">
        <v>12736467</v>
      </c>
      <c r="J94" s="427"/>
      <c r="K94" s="2443"/>
    </row>
    <row r="95" spans="1:11" ht="18" customHeight="1" x14ac:dyDescent="0.25">
      <c r="A95" s="1766" t="s">
        <v>1793</v>
      </c>
      <c r="B95" s="1723"/>
      <c r="C95" s="658">
        <v>1.419</v>
      </c>
      <c r="D95" s="438">
        <v>798029</v>
      </c>
      <c r="E95" s="427"/>
      <c r="F95" s="1455" t="s">
        <v>1101</v>
      </c>
      <c r="G95" s="563"/>
      <c r="H95" s="658">
        <v>133.28</v>
      </c>
      <c r="I95" s="438">
        <v>12757000</v>
      </c>
      <c r="J95" s="427"/>
      <c r="K95" s="2443"/>
    </row>
    <row r="96" spans="1:11" ht="18" customHeight="1" x14ac:dyDescent="0.25">
      <c r="A96" s="494" t="s">
        <v>1099</v>
      </c>
      <c r="B96" s="335" t="s">
        <v>40</v>
      </c>
      <c r="C96" s="659">
        <v>4.2960000000000003</v>
      </c>
      <c r="D96" s="438">
        <v>798406</v>
      </c>
      <c r="E96" s="427"/>
      <c r="F96" s="555" t="s">
        <v>1793</v>
      </c>
      <c r="G96" s="1723"/>
      <c r="H96" s="658">
        <v>9</v>
      </c>
      <c r="I96" s="438">
        <v>12773126</v>
      </c>
      <c r="J96" s="427"/>
      <c r="K96" s="2443"/>
    </row>
    <row r="97" spans="1:11" ht="18" customHeight="1" x14ac:dyDescent="0.25">
      <c r="A97" s="1768" t="s">
        <v>1826</v>
      </c>
      <c r="B97" s="335" t="s">
        <v>40</v>
      </c>
      <c r="C97" s="660">
        <v>1.8260000000000001</v>
      </c>
      <c r="D97" s="456">
        <v>798683</v>
      </c>
      <c r="E97" s="427"/>
      <c r="F97" s="1387" t="s">
        <v>2135</v>
      </c>
      <c r="G97" s="335" t="s">
        <v>40</v>
      </c>
      <c r="H97" s="657">
        <v>55.6</v>
      </c>
      <c r="I97" s="456">
        <v>12812908</v>
      </c>
      <c r="J97" s="427"/>
      <c r="K97" s="2443"/>
    </row>
    <row r="98" spans="1:11" ht="18" customHeight="1" x14ac:dyDescent="0.25">
      <c r="A98" s="497" t="s">
        <v>1768</v>
      </c>
      <c r="B98" s="597"/>
      <c r="C98" s="659">
        <v>1</v>
      </c>
      <c r="D98" s="439">
        <v>799188</v>
      </c>
      <c r="E98" s="427"/>
      <c r="F98" s="1390" t="s">
        <v>2026</v>
      </c>
      <c r="G98" s="1364"/>
      <c r="H98" s="658">
        <v>13.9</v>
      </c>
      <c r="I98" s="457">
        <v>12820739</v>
      </c>
      <c r="J98" s="427"/>
      <c r="K98" s="2443"/>
    </row>
    <row r="99" spans="1:11" ht="18" customHeight="1" x14ac:dyDescent="0.25">
      <c r="A99" s="2496" t="s">
        <v>2626</v>
      </c>
      <c r="B99" s="588"/>
      <c r="C99" s="659">
        <v>0.17599999999999999</v>
      </c>
      <c r="D99" s="440">
        <v>799408</v>
      </c>
      <c r="E99" s="427"/>
      <c r="F99" s="2981" t="s">
        <v>2556</v>
      </c>
      <c r="G99" s="1394"/>
      <c r="H99" s="658">
        <v>21.23</v>
      </c>
      <c r="I99" s="457">
        <v>12837913</v>
      </c>
      <c r="J99" s="427"/>
      <c r="K99" s="2443"/>
    </row>
    <row r="100" spans="1:11" ht="18" customHeight="1" x14ac:dyDescent="0.25">
      <c r="A100" s="2437" t="s">
        <v>1758</v>
      </c>
      <c r="B100" s="1400"/>
      <c r="C100" s="659">
        <v>1.8</v>
      </c>
      <c r="D100" s="464">
        <v>799731</v>
      </c>
      <c r="E100" s="427"/>
      <c r="F100" s="1390" t="s">
        <v>1758</v>
      </c>
      <c r="G100" s="1400"/>
      <c r="H100" s="658">
        <v>30.2</v>
      </c>
      <c r="I100" s="464">
        <v>12864424</v>
      </c>
      <c r="J100" s="427"/>
      <c r="K100" s="2443"/>
    </row>
    <row r="101" spans="1:11" ht="18" customHeight="1" x14ac:dyDescent="0.25">
      <c r="A101" s="2848" t="s">
        <v>1759</v>
      </c>
      <c r="B101" s="1397"/>
      <c r="C101" s="659">
        <v>1</v>
      </c>
      <c r="D101" s="464">
        <v>800344</v>
      </c>
      <c r="E101" s="427"/>
      <c r="F101" s="493" t="s">
        <v>1711</v>
      </c>
      <c r="G101" s="571" t="s">
        <v>40</v>
      </c>
      <c r="H101" s="658">
        <v>3.423</v>
      </c>
      <c r="I101" s="455">
        <v>12899206</v>
      </c>
      <c r="J101" s="427"/>
      <c r="K101" s="2443"/>
    </row>
    <row r="102" spans="1:11" ht="18" customHeight="1" x14ac:dyDescent="0.25">
      <c r="A102" s="2957" t="s">
        <v>2558</v>
      </c>
      <c r="B102" s="335"/>
      <c r="C102" s="658">
        <v>5.5</v>
      </c>
      <c r="D102" s="1754">
        <v>800503</v>
      </c>
      <c r="E102" s="427"/>
      <c r="F102" s="2974" t="s">
        <v>2152</v>
      </c>
      <c r="G102" s="335" t="s">
        <v>40</v>
      </c>
      <c r="H102" s="658">
        <v>3</v>
      </c>
      <c r="I102" s="1753">
        <v>12910767</v>
      </c>
      <c r="J102" s="427"/>
      <c r="K102" s="2443"/>
    </row>
    <row r="103" spans="1:11" ht="18" customHeight="1" x14ac:dyDescent="0.25">
      <c r="A103" s="494" t="s">
        <v>1767</v>
      </c>
      <c r="B103" s="573"/>
      <c r="C103" s="659">
        <v>1</v>
      </c>
      <c r="D103" s="440">
        <v>800950</v>
      </c>
      <c r="E103" s="427"/>
      <c r="F103" s="2978" t="s">
        <v>2134</v>
      </c>
      <c r="G103" s="335"/>
      <c r="H103" s="658">
        <v>14.7</v>
      </c>
      <c r="I103" s="438">
        <v>12917951</v>
      </c>
      <c r="J103" s="427"/>
      <c r="K103" s="2443"/>
    </row>
    <row r="104" spans="1:11" ht="18" customHeight="1" x14ac:dyDescent="0.25">
      <c r="A104" s="2981" t="s">
        <v>1837</v>
      </c>
      <c r="B104" s="335" t="s">
        <v>40</v>
      </c>
      <c r="C104" s="657">
        <v>1</v>
      </c>
      <c r="D104" s="442">
        <v>800970</v>
      </c>
      <c r="E104" s="427"/>
      <c r="F104" s="493" t="s">
        <v>1756</v>
      </c>
      <c r="G104" s="335" t="s">
        <v>40</v>
      </c>
      <c r="H104" s="659">
        <v>17.61</v>
      </c>
      <c r="I104" s="440">
        <v>12918722</v>
      </c>
      <c r="J104" s="427"/>
      <c r="K104" s="2443"/>
    </row>
    <row r="105" spans="1:11" ht="18" customHeight="1" x14ac:dyDescent="0.25">
      <c r="A105" s="2454" t="s">
        <v>1836</v>
      </c>
      <c r="B105" s="335" t="s">
        <v>40</v>
      </c>
      <c r="C105" s="658">
        <f>68.839+1</f>
        <v>69.838999999999999</v>
      </c>
      <c r="D105" s="457">
        <v>800978</v>
      </c>
      <c r="E105" s="427"/>
      <c r="F105" s="511" t="s">
        <v>1767</v>
      </c>
      <c r="G105" s="573"/>
      <c r="H105" s="659">
        <v>2</v>
      </c>
      <c r="I105" s="464">
        <v>12924216</v>
      </c>
      <c r="J105" s="427"/>
      <c r="K105" s="2443"/>
    </row>
    <row r="106" spans="1:11" ht="18" customHeight="1" x14ac:dyDescent="0.25">
      <c r="A106" s="511" t="s">
        <v>2026</v>
      </c>
      <c r="B106" s="335"/>
      <c r="C106" s="659">
        <v>1.69</v>
      </c>
      <c r="D106" s="438">
        <v>801033</v>
      </c>
      <c r="E106" s="427"/>
      <c r="F106" s="523" t="s">
        <v>2624</v>
      </c>
      <c r="G106" s="335" t="s">
        <v>40</v>
      </c>
      <c r="H106" s="659">
        <v>4.8</v>
      </c>
      <c r="I106" s="440">
        <v>12933098</v>
      </c>
      <c r="J106" s="427"/>
      <c r="K106" s="2443"/>
    </row>
    <row r="107" spans="1:11" ht="18" customHeight="1" x14ac:dyDescent="0.25">
      <c r="A107" s="523" t="s">
        <v>2624</v>
      </c>
      <c r="B107" s="335" t="s">
        <v>40</v>
      </c>
      <c r="C107" s="658">
        <v>0.5</v>
      </c>
      <c r="D107" s="438">
        <v>801073</v>
      </c>
      <c r="E107" s="427"/>
      <c r="F107" s="497" t="s">
        <v>1768</v>
      </c>
      <c r="G107" s="573"/>
      <c r="H107" s="659">
        <v>2</v>
      </c>
      <c r="I107" s="440">
        <v>12937350</v>
      </c>
      <c r="J107" s="427"/>
      <c r="K107" s="2443"/>
    </row>
    <row r="108" spans="1:11" ht="18" customHeight="1" x14ac:dyDescent="0.25">
      <c r="A108" s="524" t="s">
        <v>1102</v>
      </c>
      <c r="B108" s="583" t="s">
        <v>40</v>
      </c>
      <c r="C108" s="659">
        <v>1</v>
      </c>
      <c r="D108" s="440">
        <v>801291</v>
      </c>
      <c r="E108" s="427"/>
      <c r="F108" s="2981" t="s">
        <v>2626</v>
      </c>
      <c r="G108" s="573"/>
      <c r="H108" s="659">
        <v>1.43</v>
      </c>
      <c r="I108" s="440">
        <v>12941371</v>
      </c>
      <c r="J108" s="427"/>
      <c r="K108" s="2443"/>
    </row>
    <row r="109" spans="1:11" ht="18" customHeight="1" x14ac:dyDescent="0.25">
      <c r="A109" s="497" t="s">
        <v>2625</v>
      </c>
      <c r="B109" s="335" t="s">
        <v>40</v>
      </c>
      <c r="C109" s="659">
        <v>0.89</v>
      </c>
      <c r="D109" s="440">
        <v>803356</v>
      </c>
      <c r="E109" s="427"/>
      <c r="F109" s="497" t="s">
        <v>1594</v>
      </c>
      <c r="G109" s="575" t="s">
        <v>40</v>
      </c>
      <c r="H109" s="658">
        <v>4.5</v>
      </c>
      <c r="I109" s="438">
        <v>12942872</v>
      </c>
      <c r="J109" s="427"/>
      <c r="K109" s="2443"/>
    </row>
    <row r="110" spans="1:11" ht="18" customHeight="1" x14ac:dyDescent="0.25">
      <c r="A110" s="497" t="s">
        <v>1711</v>
      </c>
      <c r="B110" s="335" t="s">
        <v>40</v>
      </c>
      <c r="C110" s="659">
        <v>0.54100000000000004</v>
      </c>
      <c r="D110" s="438">
        <v>804553</v>
      </c>
      <c r="E110" s="427"/>
      <c r="F110" s="497" t="s">
        <v>1790</v>
      </c>
      <c r="G110" s="573"/>
      <c r="H110" s="659">
        <v>7.73</v>
      </c>
      <c r="I110" s="440">
        <v>12948000</v>
      </c>
      <c r="J110" s="427"/>
      <c r="K110" s="2443"/>
    </row>
    <row r="111" spans="1:11" ht="18" customHeight="1" x14ac:dyDescent="0.25">
      <c r="A111" s="493" t="s">
        <v>1594</v>
      </c>
      <c r="B111" s="644" t="s">
        <v>40</v>
      </c>
      <c r="C111" s="658">
        <v>0.63400000000000001</v>
      </c>
      <c r="D111" s="239">
        <v>805702</v>
      </c>
      <c r="E111" s="427"/>
      <c r="F111" s="1458" t="s">
        <v>1102</v>
      </c>
      <c r="G111" s="590" t="s">
        <v>40</v>
      </c>
      <c r="H111" s="658">
        <v>4</v>
      </c>
      <c r="I111" s="443">
        <v>12953121</v>
      </c>
      <c r="J111" s="427"/>
      <c r="K111" s="2443"/>
    </row>
    <row r="112" spans="1:11" ht="18" customHeight="1" x14ac:dyDescent="0.25">
      <c r="A112" s="495" t="s">
        <v>1790</v>
      </c>
      <c r="B112" s="573"/>
      <c r="C112" s="658">
        <v>1.1299999999999999</v>
      </c>
      <c r="D112" s="438">
        <v>806960</v>
      </c>
      <c r="E112" s="427"/>
      <c r="F112" s="499" t="s">
        <v>1759</v>
      </c>
      <c r="G112" s="449"/>
      <c r="H112" s="659">
        <v>11</v>
      </c>
      <c r="I112" s="440">
        <v>12961025</v>
      </c>
      <c r="J112" s="427"/>
      <c r="K112" s="2443"/>
    </row>
    <row r="113" spans="1:11" ht="18" customHeight="1" x14ac:dyDescent="0.25">
      <c r="A113" s="1390" t="s">
        <v>578</v>
      </c>
      <c r="B113" s="335" t="s">
        <v>40</v>
      </c>
      <c r="C113" s="657">
        <v>1.3129999999999999</v>
      </c>
      <c r="D113" s="457">
        <v>808124</v>
      </c>
      <c r="E113" s="427"/>
      <c r="F113" s="511" t="s">
        <v>578</v>
      </c>
      <c r="G113" s="335" t="s">
        <v>40</v>
      </c>
      <c r="H113" s="660">
        <v>5.9</v>
      </c>
      <c r="I113" s="464">
        <v>12974706</v>
      </c>
      <c r="J113" s="427"/>
      <c r="K113" s="2443"/>
    </row>
    <row r="114" spans="1:11" ht="18" customHeight="1" x14ac:dyDescent="0.25">
      <c r="A114" s="2313" t="s">
        <v>1100</v>
      </c>
      <c r="B114" s="601" t="s">
        <v>40</v>
      </c>
      <c r="C114" s="661">
        <v>0.70099999999999996</v>
      </c>
      <c r="D114" s="444">
        <v>810068</v>
      </c>
      <c r="E114" s="427"/>
      <c r="F114" s="497" t="s">
        <v>2625</v>
      </c>
      <c r="G114" s="601" t="s">
        <v>40</v>
      </c>
      <c r="H114" s="659">
        <v>4.5999999999999996</v>
      </c>
      <c r="I114" s="440">
        <v>13046154</v>
      </c>
      <c r="J114" s="427"/>
      <c r="K114" s="2443"/>
    </row>
    <row r="115" spans="1:11" ht="18" customHeight="1" x14ac:dyDescent="0.25">
      <c r="A115" s="1521" t="s">
        <v>487</v>
      </c>
      <c r="B115" s="335"/>
      <c r="C115" s="658">
        <v>0.51</v>
      </c>
      <c r="D115" s="438">
        <v>811131</v>
      </c>
      <c r="E115" s="427"/>
      <c r="F115" s="2975" t="s">
        <v>1100</v>
      </c>
      <c r="G115" s="335" t="s">
        <v>40</v>
      </c>
      <c r="H115" s="658">
        <v>4.0999999999999996</v>
      </c>
      <c r="I115" s="438">
        <v>13098547</v>
      </c>
      <c r="J115" s="427"/>
      <c r="K115" s="2443"/>
    </row>
    <row r="116" spans="1:11" ht="18" customHeight="1" x14ac:dyDescent="0.25">
      <c r="A116" s="1458" t="s">
        <v>1834</v>
      </c>
      <c r="B116" s="579" t="s">
        <v>40</v>
      </c>
      <c r="C116" s="658">
        <v>68.838999999999999</v>
      </c>
      <c r="D116" s="438">
        <v>819072</v>
      </c>
      <c r="E116" s="427"/>
      <c r="F116" s="555" t="s">
        <v>503</v>
      </c>
      <c r="G116" s="598"/>
      <c r="H116" s="659"/>
      <c r="I116" s="440">
        <v>14384698</v>
      </c>
      <c r="J116" s="427"/>
      <c r="K116" s="2443"/>
    </row>
    <row r="117" spans="1:11" ht="18" customHeight="1" x14ac:dyDescent="0.25">
      <c r="A117" s="539" t="s">
        <v>503</v>
      </c>
      <c r="B117" s="598"/>
      <c r="C117" s="663"/>
      <c r="D117" s="333">
        <v>819072</v>
      </c>
      <c r="E117" s="427"/>
      <c r="F117" s="493" t="s">
        <v>921</v>
      </c>
      <c r="G117" s="605"/>
      <c r="H117" s="668">
        <v>28.8</v>
      </c>
      <c r="I117" s="457">
        <v>15396864</v>
      </c>
      <c r="J117" s="427"/>
      <c r="K117" s="2443"/>
    </row>
    <row r="118" spans="1:11" ht="18" customHeight="1" x14ac:dyDescent="0.25">
      <c r="A118" s="2455" t="s">
        <v>1835</v>
      </c>
      <c r="B118" s="573"/>
      <c r="C118" s="659">
        <f>4.771+2</f>
        <v>6.7709999999999999</v>
      </c>
      <c r="D118" s="440">
        <v>1333927</v>
      </c>
      <c r="E118" s="427"/>
      <c r="F118" s="1457" t="s">
        <v>1846</v>
      </c>
      <c r="G118" s="335" t="s">
        <v>40</v>
      </c>
      <c r="H118" s="658">
        <v>2.27</v>
      </c>
      <c r="I118" s="438">
        <v>18749966</v>
      </c>
      <c r="J118" s="427"/>
      <c r="K118" s="2443"/>
    </row>
    <row r="119" spans="1:11" ht="18" customHeight="1" x14ac:dyDescent="0.25">
      <c r="A119" s="1457" t="s">
        <v>1846</v>
      </c>
      <c r="B119" s="583" t="s">
        <v>40</v>
      </c>
      <c r="C119" s="658">
        <v>3.5430000000000001</v>
      </c>
      <c r="D119" s="440">
        <v>3954938</v>
      </c>
      <c r="E119" s="427"/>
      <c r="F119" s="1458" t="s">
        <v>1834</v>
      </c>
      <c r="G119" s="335" t="s">
        <v>40</v>
      </c>
      <c r="H119" s="658">
        <v>73.8</v>
      </c>
      <c r="I119" s="438">
        <v>18751717</v>
      </c>
      <c r="J119" s="427"/>
      <c r="K119" s="2443"/>
    </row>
    <row r="120" spans="1:11" ht="18" customHeight="1" x14ac:dyDescent="0.25">
      <c r="A120" s="1758" t="s">
        <v>921</v>
      </c>
      <c r="B120" s="580"/>
      <c r="C120" s="658">
        <v>4.7709999999999999</v>
      </c>
      <c r="D120" s="438">
        <v>3956114</v>
      </c>
      <c r="E120" s="427"/>
      <c r="F120" s="1759" t="s">
        <v>487</v>
      </c>
      <c r="G120" s="566"/>
      <c r="H120" s="658"/>
      <c r="I120" s="453" t="s">
        <v>481</v>
      </c>
      <c r="J120" s="427"/>
      <c r="K120" s="2443"/>
    </row>
    <row r="121" spans="1:11" ht="18" customHeight="1" x14ac:dyDescent="0.25">
      <c r="A121" s="448"/>
      <c r="B121" s="448"/>
      <c r="C121" s="677"/>
      <c r="D121" s="229"/>
      <c r="E121" s="427"/>
      <c r="F121" s="1451"/>
      <c r="G121" s="142"/>
      <c r="H121" s="677"/>
      <c r="I121" s="1452"/>
      <c r="J121" s="427"/>
      <c r="K121" s="2443"/>
    </row>
    <row r="122" spans="1:11" ht="18" customHeight="1" x14ac:dyDescent="0.25">
      <c r="A122" s="448"/>
      <c r="B122" s="448"/>
      <c r="C122" s="677"/>
      <c r="D122" s="229"/>
      <c r="E122" s="427"/>
      <c r="F122" s="1451"/>
      <c r="G122" s="142"/>
      <c r="H122" s="677"/>
      <c r="I122" s="1452"/>
      <c r="J122" s="427"/>
      <c r="K122" s="2443"/>
    </row>
    <row r="123" spans="1:11" ht="18" customHeight="1" x14ac:dyDescent="0.25">
      <c r="A123" s="1868" t="s">
        <v>1786</v>
      </c>
      <c r="B123" s="575"/>
      <c r="C123" s="669"/>
      <c r="D123" s="445"/>
      <c r="E123" s="427"/>
      <c r="F123" s="525"/>
      <c r="G123" s="142"/>
      <c r="H123" s="677"/>
      <c r="I123" s="1452"/>
      <c r="J123" s="427"/>
      <c r="K123" s="2443"/>
    </row>
    <row r="124" spans="1:11" ht="24" customHeight="1" x14ac:dyDescent="0.25">
      <c r="A124" s="495" t="s">
        <v>1788</v>
      </c>
      <c r="B124" s="564"/>
      <c r="C124" s="2430" t="s">
        <v>480</v>
      </c>
      <c r="D124" s="469" t="s">
        <v>1118</v>
      </c>
      <c r="E124" s="427"/>
      <c r="F124" s="560"/>
      <c r="G124" s="560"/>
      <c r="H124" s="722"/>
      <c r="I124" s="383"/>
      <c r="J124" s="427"/>
      <c r="K124" s="2443"/>
    </row>
    <row r="125" spans="1:11" ht="18" customHeight="1" x14ac:dyDescent="0.25">
      <c r="A125" s="2976" t="s">
        <v>2621</v>
      </c>
      <c r="B125" s="565"/>
      <c r="C125" s="670">
        <v>6220.6</v>
      </c>
      <c r="D125" s="458">
        <v>69478025</v>
      </c>
      <c r="E125" s="427"/>
      <c r="F125" s="1460"/>
      <c r="G125" s="449"/>
      <c r="H125" s="669"/>
      <c r="I125" s="383"/>
      <c r="J125" s="427"/>
      <c r="K125" s="2443"/>
    </row>
    <row r="126" spans="1:11" ht="18" customHeight="1" x14ac:dyDescent="0.25">
      <c r="A126" s="4719" t="s">
        <v>2628</v>
      </c>
      <c r="B126" s="3094"/>
      <c r="C126" s="658">
        <v>5757.1</v>
      </c>
      <c r="D126" s="1792">
        <v>69511768</v>
      </c>
      <c r="E126" s="427"/>
      <c r="F126" s="1460"/>
      <c r="G126" s="449"/>
      <c r="H126" s="669"/>
      <c r="I126" s="383"/>
      <c r="J126" s="427"/>
      <c r="K126" s="2443"/>
    </row>
    <row r="127" spans="1:11" ht="18" customHeight="1" x14ac:dyDescent="0.25">
      <c r="A127" s="4745" t="s">
        <v>2792</v>
      </c>
      <c r="B127" s="3289" t="s">
        <v>40</v>
      </c>
      <c r="C127" s="657">
        <v>6842.9</v>
      </c>
      <c r="D127" s="3016">
        <v>74835296</v>
      </c>
      <c r="E127" s="427"/>
      <c r="F127" s="1460"/>
      <c r="G127" s="449"/>
      <c r="H127" s="669"/>
      <c r="I127" s="383"/>
      <c r="J127" s="427"/>
      <c r="K127" s="2443"/>
    </row>
    <row r="128" spans="1:11" ht="18" customHeight="1" x14ac:dyDescent="0.25">
      <c r="A128" s="4632" t="s">
        <v>2502</v>
      </c>
      <c r="B128" s="3097" t="s">
        <v>40</v>
      </c>
      <c r="C128" s="657">
        <v>8474.99</v>
      </c>
      <c r="D128" s="3016">
        <v>74909956</v>
      </c>
      <c r="E128" s="427"/>
      <c r="F128" s="1460"/>
      <c r="G128" s="449"/>
      <c r="H128" s="669"/>
      <c r="I128" s="383"/>
      <c r="J128" s="427"/>
      <c r="K128" s="2443"/>
    </row>
    <row r="129" spans="1:11" ht="18" customHeight="1" x14ac:dyDescent="0.25">
      <c r="A129" s="1688" t="s">
        <v>2475</v>
      </c>
      <c r="B129" s="563" t="s">
        <v>40</v>
      </c>
      <c r="C129" s="658">
        <v>10122.959999999999</v>
      </c>
      <c r="D129" s="3016">
        <v>74910081</v>
      </c>
      <c r="E129" s="427"/>
      <c r="F129" s="1460"/>
      <c r="G129" s="449"/>
      <c r="H129" s="669"/>
      <c r="I129" s="383"/>
      <c r="J129" s="427"/>
      <c r="K129" s="2443"/>
    </row>
    <row r="130" spans="1:11" ht="18" customHeight="1" x14ac:dyDescent="0.25">
      <c r="A130" s="3286" t="s">
        <v>2478</v>
      </c>
      <c r="B130" s="4727" t="s">
        <v>40</v>
      </c>
      <c r="C130" s="3191">
        <v>6358.25</v>
      </c>
      <c r="D130" s="3190">
        <v>74910169</v>
      </c>
      <c r="E130" s="427"/>
      <c r="F130" s="1460"/>
      <c r="G130" s="449"/>
      <c r="H130" s="669"/>
      <c r="I130" s="383"/>
      <c r="J130" s="427"/>
      <c r="K130" s="2443"/>
    </row>
    <row r="131" spans="1:11" ht="18" customHeight="1" x14ac:dyDescent="0.25">
      <c r="A131" s="4632" t="s">
        <v>2495</v>
      </c>
      <c r="B131" s="3015" t="s">
        <v>40</v>
      </c>
      <c r="C131" s="657">
        <v>5134.84</v>
      </c>
      <c r="D131" s="3016">
        <v>76165821</v>
      </c>
      <c r="E131" s="427"/>
      <c r="F131" s="1460"/>
      <c r="G131" s="449"/>
      <c r="H131" s="669"/>
      <c r="I131" s="383"/>
      <c r="J131" s="427"/>
      <c r="K131" s="2443"/>
    </row>
    <row r="132" spans="1:11" ht="18" customHeight="1" x14ac:dyDescent="0.25">
      <c r="A132" s="2954" t="s">
        <v>1782</v>
      </c>
      <c r="B132" s="4747"/>
      <c r="C132" s="658">
        <v>117.5</v>
      </c>
      <c r="D132" s="1792">
        <v>76982112</v>
      </c>
      <c r="E132" s="427"/>
      <c r="F132" s="1460"/>
      <c r="G132" s="449"/>
      <c r="H132" s="669"/>
      <c r="I132" s="383"/>
      <c r="J132" s="427"/>
      <c r="K132" s="2443"/>
    </row>
    <row r="133" spans="1:11" ht="18" customHeight="1" x14ac:dyDescent="0.25">
      <c r="A133" s="2963" t="s">
        <v>2574</v>
      </c>
      <c r="B133" s="1835"/>
      <c r="C133" s="658">
        <v>1810.9</v>
      </c>
      <c r="D133" s="1792">
        <v>78267091</v>
      </c>
      <c r="E133" s="427"/>
      <c r="F133" s="1460"/>
      <c r="G133" s="449"/>
      <c r="H133" s="669"/>
      <c r="I133" s="383"/>
      <c r="J133" s="427"/>
      <c r="K133" s="2443"/>
    </row>
    <row r="134" spans="1:11" ht="18" customHeight="1" x14ac:dyDescent="0.25">
      <c r="A134" s="2963" t="s">
        <v>2559</v>
      </c>
      <c r="B134" s="1835"/>
      <c r="C134" s="658">
        <v>1181.7</v>
      </c>
      <c r="D134" s="1792">
        <v>80232864</v>
      </c>
      <c r="E134" s="427"/>
      <c r="F134" s="1460"/>
      <c r="G134" s="449"/>
      <c r="H134" s="669"/>
      <c r="I134" s="383"/>
      <c r="J134" s="427"/>
      <c r="K134" s="2443"/>
    </row>
    <row r="135" spans="1:11" ht="18" customHeight="1" x14ac:dyDescent="0.25">
      <c r="A135" s="2980" t="s">
        <v>2469</v>
      </c>
      <c r="B135" s="563" t="s">
        <v>40</v>
      </c>
      <c r="C135" s="658">
        <v>19321.37</v>
      </c>
      <c r="D135" s="457">
        <v>81845238</v>
      </c>
      <c r="E135" s="427"/>
      <c r="F135" s="2456"/>
      <c r="G135" s="1461"/>
      <c r="H135" s="677"/>
      <c r="I135" s="177"/>
      <c r="J135" s="427"/>
      <c r="K135" s="2443"/>
    </row>
    <row r="136" spans="1:11" ht="18" customHeight="1" x14ac:dyDescent="0.25">
      <c r="A136" s="3096" t="s">
        <v>2556</v>
      </c>
      <c r="B136" s="563"/>
      <c r="C136" s="657">
        <v>276.44</v>
      </c>
      <c r="D136" s="333">
        <v>82669202</v>
      </c>
      <c r="E136" s="427"/>
      <c r="F136" s="525"/>
      <c r="G136" s="1461"/>
      <c r="H136" s="677"/>
      <c r="I136" s="177"/>
      <c r="J136" s="427"/>
      <c r="K136" s="2443"/>
    </row>
    <row r="137" spans="1:11" ht="18" customHeight="1" x14ac:dyDescent="0.25">
      <c r="A137" s="3286" t="s">
        <v>1783</v>
      </c>
      <c r="B137" s="4746"/>
      <c r="C137" s="657">
        <v>49</v>
      </c>
      <c r="D137" s="457">
        <v>83425645</v>
      </c>
      <c r="E137" s="427"/>
      <c r="F137" s="525"/>
      <c r="G137" s="1461"/>
      <c r="H137" s="677"/>
      <c r="I137" s="177"/>
      <c r="J137" s="427"/>
      <c r="K137" s="2443"/>
    </row>
    <row r="138" spans="1:11" ht="18" customHeight="1" x14ac:dyDescent="0.25">
      <c r="A138" s="1390" t="s">
        <v>2479</v>
      </c>
      <c r="B138" s="1803" t="s">
        <v>40</v>
      </c>
      <c r="C138" s="658">
        <v>13547.93</v>
      </c>
      <c r="D138" s="1792">
        <v>83552387</v>
      </c>
      <c r="E138" s="427"/>
      <c r="F138" s="525"/>
      <c r="G138" s="1461"/>
      <c r="H138" s="677"/>
      <c r="I138" s="177"/>
      <c r="J138" s="427"/>
      <c r="K138" s="2443"/>
    </row>
    <row r="139" spans="1:11" ht="18" customHeight="1" x14ac:dyDescent="0.25">
      <c r="A139" s="2475" t="s">
        <v>928</v>
      </c>
      <c r="B139" s="1384"/>
      <c r="C139" s="658">
        <v>13</v>
      </c>
      <c r="D139" s="1792">
        <v>83698038</v>
      </c>
      <c r="E139" s="427"/>
      <c r="F139" s="525"/>
      <c r="G139" s="1461"/>
      <c r="H139" s="677"/>
      <c r="I139" s="177"/>
      <c r="J139" s="427"/>
      <c r="K139" s="2443"/>
    </row>
    <row r="140" spans="1:11" ht="18" customHeight="1" x14ac:dyDescent="0.25">
      <c r="A140" s="495" t="s">
        <v>1792</v>
      </c>
      <c r="B140" s="3095"/>
      <c r="C140" s="657">
        <v>127.17</v>
      </c>
      <c r="D140" s="457">
        <v>83792013</v>
      </c>
      <c r="E140" s="427"/>
      <c r="F140" s="525"/>
      <c r="G140" s="1461"/>
      <c r="H140" s="677"/>
      <c r="I140" s="177"/>
      <c r="J140" s="427"/>
      <c r="K140" s="2443"/>
    </row>
    <row r="141" spans="1:11" ht="18" customHeight="1" x14ac:dyDescent="0.25">
      <c r="A141" s="1688" t="s">
        <v>2482</v>
      </c>
      <c r="B141" s="2043" t="s">
        <v>40</v>
      </c>
      <c r="C141" s="658">
        <v>17220.900000000001</v>
      </c>
      <c r="D141" s="1792">
        <v>84101110</v>
      </c>
      <c r="E141" s="427"/>
      <c r="F141" s="525"/>
      <c r="G141" s="1461"/>
      <c r="H141" s="677"/>
      <c r="I141" s="177"/>
      <c r="J141" s="427"/>
      <c r="K141" s="2443"/>
    </row>
    <row r="142" spans="1:11" ht="18" customHeight="1" x14ac:dyDescent="0.25">
      <c r="A142" s="1390" t="s">
        <v>2483</v>
      </c>
      <c r="B142" s="2850" t="s">
        <v>40</v>
      </c>
      <c r="C142" s="658">
        <v>14805.88</v>
      </c>
      <c r="D142" s="1792">
        <v>84118382</v>
      </c>
      <c r="E142" s="427"/>
      <c r="F142" s="525"/>
      <c r="G142" s="1461"/>
      <c r="H142" s="677"/>
      <c r="I142" s="177"/>
      <c r="J142" s="427"/>
      <c r="K142" s="2443"/>
    </row>
    <row r="143" spans="1:11" ht="18" customHeight="1" x14ac:dyDescent="0.25">
      <c r="A143" s="3093" t="s">
        <v>1785</v>
      </c>
      <c r="B143" s="335" t="s">
        <v>40</v>
      </c>
      <c r="C143" s="658">
        <v>22</v>
      </c>
      <c r="D143" s="457">
        <f>96054988-10915147</f>
        <v>85139841</v>
      </c>
      <c r="E143" s="427"/>
      <c r="F143" s="525"/>
      <c r="G143" s="1461"/>
      <c r="H143" s="677"/>
      <c r="I143" s="177"/>
      <c r="J143" s="427"/>
      <c r="K143" s="2443"/>
    </row>
    <row r="144" spans="1:11" ht="18" customHeight="1" x14ac:dyDescent="0.25">
      <c r="A144" s="1404" t="s">
        <v>1793</v>
      </c>
      <c r="B144" s="1721"/>
      <c r="C144" s="658">
        <v>85.394999999999996</v>
      </c>
      <c r="D144" s="457">
        <v>87295525</v>
      </c>
      <c r="E144" s="427"/>
      <c r="F144" s="525"/>
      <c r="G144" s="1461"/>
      <c r="H144" s="677"/>
      <c r="I144" s="177"/>
      <c r="J144" s="427"/>
      <c r="K144" s="2443"/>
    </row>
    <row r="145" spans="1:11" ht="18" customHeight="1" x14ac:dyDescent="0.25">
      <c r="A145" s="2977" t="s">
        <v>2134</v>
      </c>
      <c r="B145" s="335"/>
      <c r="C145" s="658">
        <v>125.9</v>
      </c>
      <c r="D145" s="438">
        <v>88432774</v>
      </c>
      <c r="E145" s="427"/>
      <c r="F145" s="525"/>
      <c r="G145" s="575"/>
      <c r="H145" s="677"/>
      <c r="I145" s="445"/>
      <c r="J145" s="427"/>
      <c r="K145" s="2443"/>
    </row>
    <row r="146" spans="1:11" ht="18" customHeight="1" x14ac:dyDescent="0.25">
      <c r="A146" s="493" t="s">
        <v>2002</v>
      </c>
      <c r="B146" s="583" t="s">
        <v>40</v>
      </c>
      <c r="C146" s="658">
        <v>1893.1</v>
      </c>
      <c r="D146" s="457">
        <v>89292126</v>
      </c>
      <c r="E146" s="427"/>
      <c r="F146" s="525"/>
      <c r="G146" s="575"/>
      <c r="H146" s="677"/>
      <c r="I146" s="445"/>
      <c r="J146" s="427"/>
      <c r="K146" s="2443"/>
    </row>
    <row r="147" spans="1:11" ht="18" customHeight="1" x14ac:dyDescent="0.25">
      <c r="A147" s="493" t="s">
        <v>748</v>
      </c>
      <c r="B147" s="335" t="s">
        <v>40</v>
      </c>
      <c r="C147" s="659">
        <v>2687.9029999999998</v>
      </c>
      <c r="D147" s="439">
        <v>89292346</v>
      </c>
      <c r="E147" s="427"/>
      <c r="F147" s="525"/>
      <c r="G147" s="449"/>
      <c r="H147" s="669"/>
      <c r="I147" s="177"/>
      <c r="J147" s="427"/>
      <c r="K147" s="2443"/>
    </row>
    <row r="148" spans="1:11" ht="18" customHeight="1" x14ac:dyDescent="0.25">
      <c r="A148" s="493" t="s">
        <v>2026</v>
      </c>
      <c r="B148" s="335"/>
      <c r="C148" s="658">
        <v>191</v>
      </c>
      <c r="D148" s="438">
        <v>91123173</v>
      </c>
      <c r="E148" s="427"/>
      <c r="F148" s="525"/>
      <c r="G148" s="449"/>
      <c r="H148" s="669"/>
      <c r="I148" s="445"/>
      <c r="J148" s="427"/>
      <c r="K148" s="2443"/>
    </row>
    <row r="149" spans="1:11" ht="18" customHeight="1" x14ac:dyDescent="0.25">
      <c r="A149" s="495" t="s">
        <v>1758</v>
      </c>
      <c r="B149" s="572"/>
      <c r="C149" s="658">
        <v>332.2</v>
      </c>
      <c r="D149" s="440">
        <v>93231731</v>
      </c>
      <c r="E149" s="427"/>
      <c r="F149" s="525"/>
      <c r="G149" s="575"/>
      <c r="H149" s="669"/>
      <c r="I149" s="445"/>
      <c r="J149" s="427"/>
      <c r="K149" s="2443"/>
    </row>
    <row r="150" spans="1:11" ht="18" customHeight="1" x14ac:dyDescent="0.25">
      <c r="A150" s="511" t="s">
        <v>1790</v>
      </c>
      <c r="B150" s="597"/>
      <c r="C150" s="659">
        <v>35.963000000000001</v>
      </c>
      <c r="D150" s="440">
        <v>93574800</v>
      </c>
      <c r="E150" s="427"/>
      <c r="F150" s="142"/>
      <c r="G150" s="1461"/>
      <c r="H150" s="677"/>
      <c r="I150" s="177"/>
      <c r="J150" s="427"/>
      <c r="K150" s="2443"/>
    </row>
    <row r="151" spans="1:11" ht="18" customHeight="1" x14ac:dyDescent="0.25">
      <c r="A151" s="1685" t="s">
        <v>1768</v>
      </c>
      <c r="B151" s="573"/>
      <c r="C151" s="660">
        <v>34</v>
      </c>
      <c r="D151" s="476">
        <v>93929510</v>
      </c>
      <c r="E151" s="427"/>
      <c r="F151" s="525"/>
      <c r="G151" s="575"/>
      <c r="H151" s="669"/>
      <c r="I151" s="177"/>
      <c r="J151" s="427"/>
      <c r="K151" s="2443"/>
    </row>
    <row r="152" spans="1:11" ht="18" customHeight="1" x14ac:dyDescent="0.25">
      <c r="A152" s="1688" t="s">
        <v>1791</v>
      </c>
      <c r="B152" s="335" t="s">
        <v>40</v>
      </c>
      <c r="C152" s="659">
        <v>26.600999999999999</v>
      </c>
      <c r="D152" s="1753">
        <v>94295900</v>
      </c>
      <c r="E152" s="427"/>
      <c r="F152" s="525"/>
      <c r="G152" s="575"/>
      <c r="H152" s="669"/>
      <c r="I152" s="177"/>
      <c r="J152" s="427"/>
      <c r="K152" s="2443"/>
    </row>
    <row r="153" spans="1:11" ht="18" customHeight="1" x14ac:dyDescent="0.25">
      <c r="A153" s="497" t="s">
        <v>1101</v>
      </c>
      <c r="B153" s="563"/>
      <c r="C153" s="658">
        <v>1015.931</v>
      </c>
      <c r="D153" s="438">
        <v>94335591</v>
      </c>
      <c r="E153" s="427"/>
      <c r="F153" s="525"/>
      <c r="G153" s="449"/>
      <c r="H153" s="669"/>
      <c r="I153" s="445"/>
      <c r="J153" s="427"/>
      <c r="K153" s="2443"/>
    </row>
    <row r="154" spans="1:11" ht="18" customHeight="1" x14ac:dyDescent="0.25">
      <c r="A154" s="494" t="s">
        <v>1833</v>
      </c>
      <c r="B154" s="335" t="s">
        <v>40</v>
      </c>
      <c r="C154" s="658">
        <v>219.453</v>
      </c>
      <c r="D154" s="438">
        <v>95171579</v>
      </c>
      <c r="E154" s="427"/>
      <c r="F154" s="525"/>
      <c r="G154" s="449"/>
      <c r="H154" s="669"/>
      <c r="I154" s="445"/>
      <c r="J154" s="427"/>
      <c r="K154" s="2443"/>
    </row>
    <row r="155" spans="1:11" ht="18" customHeight="1" x14ac:dyDescent="0.25">
      <c r="A155" s="1755" t="s">
        <v>1826</v>
      </c>
      <c r="B155" s="569" t="s">
        <v>40</v>
      </c>
      <c r="C155" s="658">
        <v>145.922</v>
      </c>
      <c r="D155" s="438">
        <v>96218245</v>
      </c>
      <c r="E155" s="427"/>
      <c r="F155" s="525"/>
      <c r="G155" s="561"/>
      <c r="H155" s="669"/>
      <c r="I155" s="445"/>
      <c r="J155" s="427"/>
      <c r="K155" s="2443"/>
    </row>
    <row r="156" spans="1:11" ht="18" customHeight="1" x14ac:dyDescent="0.25">
      <c r="A156" s="1455" t="s">
        <v>1781</v>
      </c>
      <c r="B156" s="563"/>
      <c r="C156" s="657">
        <v>88</v>
      </c>
      <c r="D156" s="456">
        <v>96829246</v>
      </c>
      <c r="E156" s="427"/>
      <c r="F156" s="525"/>
      <c r="G156" s="449"/>
      <c r="H156" s="669"/>
      <c r="I156" s="445"/>
      <c r="J156" s="427"/>
      <c r="K156" s="2443"/>
    </row>
    <row r="157" spans="1:11" ht="18" customHeight="1" x14ac:dyDescent="0.25">
      <c r="A157" s="494" t="s">
        <v>1711</v>
      </c>
      <c r="B157" s="1364" t="s">
        <v>40</v>
      </c>
      <c r="C157" s="658">
        <v>29.254000000000001</v>
      </c>
      <c r="D157" s="457">
        <v>96985896</v>
      </c>
      <c r="E157" s="427"/>
      <c r="F157" s="1454"/>
      <c r="G157" s="575"/>
      <c r="H157" s="669"/>
      <c r="I157" s="177"/>
      <c r="J157" s="427"/>
      <c r="K157" s="2443"/>
    </row>
    <row r="158" spans="1:11" ht="18" customHeight="1" x14ac:dyDescent="0.25">
      <c r="A158" s="2975" t="s">
        <v>2585</v>
      </c>
      <c r="B158" s="1364"/>
      <c r="C158" s="658">
        <v>45</v>
      </c>
      <c r="D158" s="457">
        <v>97020534</v>
      </c>
      <c r="E158" s="427"/>
      <c r="F158" s="525"/>
      <c r="G158" s="449"/>
      <c r="H158" s="669"/>
      <c r="I158" s="445"/>
      <c r="J158" s="427"/>
      <c r="K158" s="2443"/>
    </row>
    <row r="159" spans="1:11" ht="18" customHeight="1" x14ac:dyDescent="0.25">
      <c r="A159" s="523" t="s">
        <v>2626</v>
      </c>
      <c r="B159" s="597"/>
      <c r="C159" s="659">
        <v>40.744999999999997</v>
      </c>
      <c r="D159" s="439">
        <v>99202212</v>
      </c>
      <c r="E159" s="427"/>
      <c r="F159" s="525"/>
      <c r="G159" s="575"/>
      <c r="H159" s="677"/>
      <c r="I159" s="177"/>
      <c r="J159" s="427"/>
      <c r="K159" s="2443"/>
    </row>
    <row r="160" spans="1:11" ht="18" customHeight="1" x14ac:dyDescent="0.25">
      <c r="A160" s="493" t="s">
        <v>1789</v>
      </c>
      <c r="B160" s="335"/>
      <c r="C160" s="659">
        <v>70</v>
      </c>
      <c r="D160" s="440">
        <v>99666927</v>
      </c>
      <c r="E160" s="427"/>
      <c r="F160" s="2456"/>
      <c r="G160" s="575"/>
      <c r="H160" s="677"/>
      <c r="I160" s="177"/>
      <c r="J160" s="427"/>
      <c r="K160" s="2443"/>
    </row>
    <row r="161" spans="1:11" ht="18" customHeight="1" x14ac:dyDescent="0.25">
      <c r="A161" s="493" t="s">
        <v>1837</v>
      </c>
      <c r="B161" s="335" t="s">
        <v>40</v>
      </c>
      <c r="C161" s="658">
        <v>94</v>
      </c>
      <c r="D161" s="438">
        <v>102818696</v>
      </c>
      <c r="E161" s="427"/>
      <c r="F161" s="538"/>
      <c r="G161" s="575"/>
      <c r="H161" s="669"/>
      <c r="I161" s="445"/>
      <c r="J161" s="427"/>
      <c r="K161" s="2443"/>
    </row>
    <row r="162" spans="1:11" ht="18" customHeight="1" x14ac:dyDescent="0.25">
      <c r="A162" s="493" t="s">
        <v>1759</v>
      </c>
      <c r="B162" s="573"/>
      <c r="C162" s="659">
        <v>66</v>
      </c>
      <c r="D162" s="440">
        <v>106529513</v>
      </c>
      <c r="E162" s="427"/>
      <c r="F162" s="525"/>
      <c r="G162" s="575"/>
      <c r="H162" s="669"/>
      <c r="I162" s="177"/>
      <c r="J162" s="427"/>
      <c r="K162" s="2443"/>
    </row>
    <row r="163" spans="1:11" ht="18" customHeight="1" x14ac:dyDescent="0.25">
      <c r="A163" s="2491" t="s">
        <v>2190</v>
      </c>
      <c r="B163" s="335" t="s">
        <v>40</v>
      </c>
      <c r="C163" s="658">
        <v>60.16</v>
      </c>
      <c r="D163" s="438">
        <v>108990476</v>
      </c>
      <c r="E163" s="427"/>
      <c r="F163" s="525"/>
      <c r="G163" s="575"/>
      <c r="H163" s="669"/>
      <c r="I163" s="177"/>
      <c r="J163" s="427"/>
      <c r="K163" s="2443"/>
    </row>
    <row r="164" spans="1:11" ht="18" customHeight="1" x14ac:dyDescent="0.25">
      <c r="A164" s="2975" t="s">
        <v>1100</v>
      </c>
      <c r="B164" s="575" t="s">
        <v>40</v>
      </c>
      <c r="C164" s="658">
        <v>71.72</v>
      </c>
      <c r="D164" s="438">
        <v>108995022</v>
      </c>
      <c r="E164" s="427"/>
      <c r="F164" s="525"/>
      <c r="G164" s="575"/>
      <c r="H164" s="677"/>
      <c r="I164" s="177"/>
      <c r="J164" s="427"/>
      <c r="K164" s="2443"/>
    </row>
    <row r="165" spans="1:11" ht="18" customHeight="1" x14ac:dyDescent="0.25">
      <c r="A165" s="2192" t="s">
        <v>1371</v>
      </c>
      <c r="B165" s="335"/>
      <c r="C165" s="658">
        <v>3</v>
      </c>
      <c r="D165" s="457">
        <v>111656598</v>
      </c>
      <c r="E165" s="427"/>
      <c r="F165" s="525"/>
      <c r="G165" s="575"/>
      <c r="H165" s="677"/>
      <c r="I165" s="177"/>
      <c r="J165" s="427"/>
      <c r="K165" s="2443"/>
    </row>
    <row r="166" spans="1:11" ht="18" customHeight="1" x14ac:dyDescent="0.25">
      <c r="A166" s="524" t="s">
        <v>1102</v>
      </c>
      <c r="B166" s="335" t="s">
        <v>40</v>
      </c>
      <c r="C166" s="658">
        <v>49</v>
      </c>
      <c r="D166" s="440">
        <v>111763030</v>
      </c>
      <c r="E166" s="427"/>
      <c r="F166" s="525"/>
      <c r="G166" s="449"/>
      <c r="H166" s="677"/>
      <c r="I166" s="177"/>
      <c r="J166" s="427"/>
      <c r="K166" s="2443"/>
    </row>
    <row r="167" spans="1:11" ht="18" customHeight="1" x14ac:dyDescent="0.25">
      <c r="A167" s="493" t="s">
        <v>2151</v>
      </c>
      <c r="B167" s="590" t="s">
        <v>40</v>
      </c>
      <c r="C167" s="658">
        <v>51</v>
      </c>
      <c r="D167" s="443">
        <v>112852094</v>
      </c>
      <c r="E167" s="427"/>
      <c r="F167" s="525"/>
      <c r="G167" s="575"/>
      <c r="H167" s="677"/>
      <c r="I167" s="177"/>
      <c r="J167" s="427"/>
      <c r="K167" s="2443"/>
    </row>
    <row r="168" spans="1:11" ht="18" customHeight="1" x14ac:dyDescent="0.25">
      <c r="A168" s="2979" t="s">
        <v>2217</v>
      </c>
      <c r="B168" s="448"/>
      <c r="C168" s="658">
        <v>164.7</v>
      </c>
      <c r="D168" s="438">
        <v>113110051</v>
      </c>
      <c r="E168" s="427"/>
      <c r="F168" s="525"/>
      <c r="G168" s="575"/>
      <c r="H168" s="669"/>
      <c r="I168" s="445"/>
      <c r="J168" s="427"/>
      <c r="K168" s="2443"/>
    </row>
    <row r="169" spans="1:11" ht="18" customHeight="1" x14ac:dyDescent="0.25">
      <c r="A169" s="497" t="s">
        <v>2135</v>
      </c>
      <c r="B169" s="601" t="s">
        <v>40</v>
      </c>
      <c r="C169" s="658">
        <v>698.1</v>
      </c>
      <c r="D169" s="438">
        <v>113786508</v>
      </c>
      <c r="E169" s="427"/>
      <c r="F169" s="448"/>
      <c r="G169" s="575"/>
      <c r="H169" s="677"/>
      <c r="I169" s="177"/>
      <c r="J169" s="427"/>
      <c r="K169" s="2443"/>
    </row>
    <row r="170" spans="1:11" ht="18" customHeight="1" x14ac:dyDescent="0.25">
      <c r="A170" s="497" t="s">
        <v>1767</v>
      </c>
      <c r="B170" s="576"/>
      <c r="C170" s="659">
        <v>33</v>
      </c>
      <c r="D170" s="440">
        <v>115262834</v>
      </c>
      <c r="E170" s="427"/>
      <c r="F170" s="538"/>
      <c r="G170" s="575"/>
      <c r="H170" s="677"/>
      <c r="I170" s="177"/>
      <c r="J170" s="427"/>
      <c r="K170" s="2443"/>
    </row>
    <row r="171" spans="1:11" ht="18" customHeight="1" x14ac:dyDescent="0.25">
      <c r="A171" s="2496" t="s">
        <v>2624</v>
      </c>
      <c r="B171" s="579" t="s">
        <v>40</v>
      </c>
      <c r="C171" s="658">
        <v>96.9</v>
      </c>
      <c r="D171" s="438">
        <v>121706784</v>
      </c>
      <c r="E171" s="427"/>
      <c r="F171" s="142"/>
      <c r="G171" s="562"/>
      <c r="H171" s="677"/>
      <c r="I171" s="177"/>
      <c r="J171" s="427"/>
      <c r="K171" s="2443"/>
    </row>
    <row r="172" spans="1:11" ht="18" customHeight="1" x14ac:dyDescent="0.25">
      <c r="A172" s="1390" t="s">
        <v>2625</v>
      </c>
      <c r="B172" s="335" t="s">
        <v>40</v>
      </c>
      <c r="C172" s="1520">
        <v>33.799999999999997</v>
      </c>
      <c r="D172" s="1391">
        <v>131134616</v>
      </c>
      <c r="E172" s="427"/>
      <c r="F172" s="142"/>
      <c r="G172" s="562"/>
      <c r="H172" s="677"/>
      <c r="I172" s="177"/>
      <c r="J172" s="427"/>
      <c r="K172" s="2443"/>
    </row>
    <row r="173" spans="1:11" ht="18" customHeight="1" x14ac:dyDescent="0.25">
      <c r="A173" s="498" t="s">
        <v>503</v>
      </c>
      <c r="B173" s="598"/>
      <c r="C173" s="676"/>
      <c r="D173" s="464">
        <v>140384856</v>
      </c>
      <c r="E173" s="427"/>
      <c r="F173" s="2456"/>
      <c r="G173" s="449"/>
      <c r="H173" s="669"/>
      <c r="I173" s="445"/>
      <c r="J173" s="427"/>
      <c r="K173" s="2443"/>
    </row>
    <row r="174" spans="1:11" ht="18" customHeight="1" x14ac:dyDescent="0.25">
      <c r="A174" s="2455" t="s">
        <v>1784</v>
      </c>
      <c r="B174" s="335"/>
      <c r="C174" s="658"/>
      <c r="D174" s="438">
        <v>143746880</v>
      </c>
      <c r="E174" s="427"/>
      <c r="F174" s="525"/>
      <c r="G174" s="562"/>
      <c r="H174" s="677"/>
      <c r="I174" s="177"/>
      <c r="J174" s="427"/>
      <c r="K174" s="2443"/>
    </row>
    <row r="175" spans="1:11" ht="18" customHeight="1" x14ac:dyDescent="0.25">
      <c r="A175" s="1410" t="s">
        <v>1787</v>
      </c>
      <c r="B175" s="570"/>
      <c r="C175" s="658">
        <v>2</v>
      </c>
      <c r="D175" s="1409">
        <v>298889513</v>
      </c>
      <c r="E175" s="427"/>
      <c r="F175" s="142"/>
      <c r="G175" s="562"/>
      <c r="H175" s="677"/>
      <c r="I175" s="177"/>
      <c r="J175" s="427"/>
      <c r="K175" s="2443"/>
    </row>
    <row r="176" spans="1:11" ht="18" customHeight="1" x14ac:dyDescent="0.25">
      <c r="A176" s="448"/>
      <c r="B176" s="448"/>
      <c r="C176" s="677"/>
      <c r="D176" s="229"/>
      <c r="E176" s="427"/>
      <c r="F176" s="1451"/>
      <c r="G176" s="142"/>
      <c r="H176" s="677"/>
      <c r="I176" s="1452"/>
      <c r="J176" s="427"/>
      <c r="K176" s="2443"/>
    </row>
    <row r="177" spans="1:11" ht="18" customHeight="1" x14ac:dyDescent="0.25">
      <c r="A177" s="140" t="s">
        <v>2744</v>
      </c>
      <c r="B177" s="140"/>
      <c r="C177" s="665"/>
      <c r="D177" s="451"/>
      <c r="E177" s="427"/>
      <c r="F177" s="552"/>
      <c r="G177" s="552"/>
      <c r="H177" s="715"/>
      <c r="I177" s="480"/>
      <c r="J177" s="427"/>
      <c r="K177" s="2443"/>
    </row>
    <row r="178" spans="1:11" ht="18" customHeight="1" x14ac:dyDescent="0.25">
      <c r="A178" s="140" t="s">
        <v>2745</v>
      </c>
      <c r="B178" s="140"/>
      <c r="C178" s="666"/>
      <c r="D178" s="452"/>
      <c r="E178" s="427"/>
      <c r="F178" s="481"/>
      <c r="G178" s="481"/>
      <c r="H178" s="716"/>
      <c r="I178" s="481"/>
      <c r="J178" s="430"/>
      <c r="K178" s="2443"/>
    </row>
    <row r="179" spans="1:11" ht="18" customHeight="1" x14ac:dyDescent="0.25">
      <c r="A179" s="142" t="s">
        <v>2746</v>
      </c>
      <c r="B179" s="142"/>
      <c r="C179" s="666"/>
      <c r="D179" s="452"/>
      <c r="E179" s="427"/>
      <c r="F179" s="478"/>
      <c r="G179" s="478"/>
      <c r="H179" s="711"/>
      <c r="I179" s="478"/>
      <c r="J179" s="423"/>
      <c r="K179" s="2443"/>
    </row>
    <row r="180" spans="1:11" ht="18" customHeight="1" x14ac:dyDescent="0.25">
      <c r="A180" s="527"/>
      <c r="B180" s="527"/>
      <c r="C180" s="666"/>
      <c r="D180" s="452"/>
      <c r="E180" s="427"/>
      <c r="F180" s="478"/>
      <c r="G180" s="478"/>
      <c r="H180" s="711"/>
      <c r="I180" s="478"/>
      <c r="J180" s="423"/>
      <c r="K180" s="2443"/>
    </row>
    <row r="181" spans="1:11" ht="24.75" customHeight="1" x14ac:dyDescent="0.25">
      <c r="A181" s="650" t="s">
        <v>1616</v>
      </c>
      <c r="B181" s="446"/>
      <c r="C181" s="2"/>
      <c r="D181" s="446"/>
      <c r="E181" s="429"/>
      <c r="F181" s="478"/>
      <c r="G181" s="478"/>
      <c r="H181" s="711"/>
      <c r="I181" s="478"/>
      <c r="J181" s="423"/>
      <c r="K181" s="2443"/>
    </row>
    <row r="182" spans="1:11" ht="4.5" customHeight="1" thickBot="1" x14ac:dyDescent="0.3">
      <c r="A182" s="447"/>
      <c r="B182" s="447"/>
      <c r="C182" s="424"/>
      <c r="D182" s="447"/>
      <c r="E182" s="431"/>
      <c r="F182" s="479"/>
      <c r="G182" s="479"/>
      <c r="H182" s="712"/>
      <c r="I182" s="479"/>
      <c r="J182" s="425"/>
      <c r="K182" s="2443"/>
    </row>
    <row r="183" spans="1:11" ht="18" customHeight="1" thickTop="1" x14ac:dyDescent="0.25">
      <c r="A183" s="448"/>
      <c r="B183" s="448"/>
      <c r="C183" s="426"/>
      <c r="D183" s="448"/>
      <c r="E183" s="432"/>
      <c r="F183" s="478"/>
      <c r="G183" s="478"/>
      <c r="H183" s="711"/>
      <c r="I183" s="478"/>
      <c r="J183" s="423"/>
      <c r="K183" s="2443"/>
    </row>
    <row r="184" spans="1:11" ht="18" customHeight="1" x14ac:dyDescent="0.25">
      <c r="A184" s="525"/>
      <c r="B184" s="535"/>
      <c r="C184" s="656"/>
      <c r="D184" s="449"/>
      <c r="E184" s="427"/>
      <c r="F184" s="525"/>
      <c r="G184" s="449"/>
      <c r="H184" s="673"/>
      <c r="I184" s="449"/>
      <c r="J184" s="427"/>
      <c r="K184" s="2443"/>
    </row>
    <row r="185" spans="1:11" ht="24" customHeight="1" x14ac:dyDescent="0.25">
      <c r="A185" s="1624" t="s">
        <v>2328</v>
      </c>
      <c r="B185" s="564"/>
      <c r="C185" s="2430" t="s">
        <v>480</v>
      </c>
      <c r="D185" s="652" t="s">
        <v>1119</v>
      </c>
      <c r="E185" s="427"/>
      <c r="F185" s="1624" t="s">
        <v>2329</v>
      </c>
      <c r="G185" s="581"/>
      <c r="H185" s="2430" t="s">
        <v>480</v>
      </c>
      <c r="I185" s="653" t="s">
        <v>1118</v>
      </c>
      <c r="J185" s="427"/>
      <c r="K185" s="2443"/>
    </row>
    <row r="186" spans="1:11" ht="18" customHeight="1" x14ac:dyDescent="0.25">
      <c r="A186" s="2441" t="s">
        <v>2050</v>
      </c>
      <c r="B186" s="582"/>
      <c r="C186" s="658">
        <v>2</v>
      </c>
      <c r="D186" s="453">
        <v>19218778</v>
      </c>
      <c r="E186" s="427"/>
      <c r="F186" s="2976" t="s">
        <v>2487</v>
      </c>
      <c r="G186" s="596"/>
      <c r="H186" s="717">
        <v>2.29</v>
      </c>
      <c r="I186" s="482">
        <v>6690796</v>
      </c>
      <c r="J186" s="427"/>
      <c r="K186" s="2443"/>
    </row>
    <row r="187" spans="1:11" ht="18" customHeight="1" x14ac:dyDescent="0.25">
      <c r="A187" s="2068" t="s">
        <v>2344</v>
      </c>
      <c r="B187" s="565"/>
      <c r="C187" s="670">
        <v>3</v>
      </c>
      <c r="D187" s="458">
        <v>20346748</v>
      </c>
      <c r="E187" s="429"/>
      <c r="F187" s="1458" t="s">
        <v>2344</v>
      </c>
      <c r="G187" s="583"/>
      <c r="H187" s="697">
        <v>3.46</v>
      </c>
      <c r="I187" s="455">
        <v>6912014</v>
      </c>
      <c r="J187" s="429"/>
      <c r="K187" s="2443"/>
    </row>
    <row r="188" spans="1:11" ht="18" customHeight="1" x14ac:dyDescent="0.25">
      <c r="A188" s="2974" t="s">
        <v>2621</v>
      </c>
      <c r="B188" s="335"/>
      <c r="C188" s="658">
        <v>6812.7</v>
      </c>
      <c r="D188" s="438">
        <v>21488959</v>
      </c>
      <c r="E188" s="2436"/>
      <c r="F188" s="2954" t="s">
        <v>2469</v>
      </c>
      <c r="G188" s="4729" t="s">
        <v>40</v>
      </c>
      <c r="H188" s="698">
        <v>1959.27</v>
      </c>
      <c r="I188" s="454">
        <v>7019913</v>
      </c>
      <c r="J188" s="429"/>
      <c r="K188" s="2443"/>
    </row>
    <row r="189" spans="1:11" ht="18" customHeight="1" x14ac:dyDescent="0.25">
      <c r="A189" s="2969" t="s">
        <v>2629</v>
      </c>
      <c r="B189" s="2395"/>
      <c r="C189" s="658">
        <v>629</v>
      </c>
      <c r="D189" s="1792">
        <v>21565980</v>
      </c>
      <c r="E189" s="429"/>
      <c r="F189" s="2987" t="s">
        <v>2621</v>
      </c>
      <c r="G189" s="2395"/>
      <c r="H189" s="697">
        <v>4569</v>
      </c>
      <c r="I189" s="1792">
        <v>7039298</v>
      </c>
      <c r="J189" s="429"/>
      <c r="K189" s="2443"/>
    </row>
    <row r="190" spans="1:11" ht="18" customHeight="1" x14ac:dyDescent="0.25">
      <c r="A190" s="3290" t="s">
        <v>2630</v>
      </c>
      <c r="B190" s="3188"/>
      <c r="C190" s="3191">
        <v>623.70000000000005</v>
      </c>
      <c r="D190" s="3190">
        <v>21565980</v>
      </c>
      <c r="E190" s="429"/>
      <c r="F190" s="3203" t="s">
        <v>2792</v>
      </c>
      <c r="G190" s="4731" t="s">
        <v>40</v>
      </c>
      <c r="H190" s="3189">
        <v>1932.5</v>
      </c>
      <c r="I190" s="3190">
        <v>7048994</v>
      </c>
      <c r="J190" s="429"/>
      <c r="K190" s="2443"/>
    </row>
    <row r="191" spans="1:11" ht="18" customHeight="1" x14ac:dyDescent="0.25">
      <c r="A191" s="2796" t="s">
        <v>2631</v>
      </c>
      <c r="B191" s="2403"/>
      <c r="C191" s="658">
        <v>463.9</v>
      </c>
      <c r="D191" s="1792">
        <v>21572876</v>
      </c>
      <c r="E191" s="429"/>
      <c r="F191" s="3286" t="s">
        <v>2478</v>
      </c>
      <c r="G191" s="4727" t="s">
        <v>40</v>
      </c>
      <c r="H191" s="697">
        <v>1647.45</v>
      </c>
      <c r="I191" s="1792">
        <v>7058451</v>
      </c>
      <c r="J191" s="429"/>
      <c r="K191" s="2443"/>
    </row>
    <row r="192" spans="1:11" ht="18" customHeight="1" x14ac:dyDescent="0.25">
      <c r="A192" s="4745" t="s">
        <v>2792</v>
      </c>
      <c r="B192" s="3289" t="s">
        <v>40</v>
      </c>
      <c r="C192" s="657">
        <v>3125.5</v>
      </c>
      <c r="D192" s="3016">
        <v>21588390</v>
      </c>
      <c r="E192" s="429"/>
      <c r="F192" s="3032" t="s">
        <v>2482</v>
      </c>
      <c r="G192" s="1835" t="s">
        <v>40</v>
      </c>
      <c r="H192" s="698">
        <v>1813.51</v>
      </c>
      <c r="I192" s="3016">
        <v>7138513</v>
      </c>
      <c r="J192" s="429"/>
      <c r="K192" s="2443"/>
    </row>
    <row r="193" spans="1:11" ht="18" customHeight="1" x14ac:dyDescent="0.25">
      <c r="A193" s="1688" t="s">
        <v>2478</v>
      </c>
      <c r="B193" s="3097" t="s">
        <v>40</v>
      </c>
      <c r="C193" s="657">
        <v>2962.92</v>
      </c>
      <c r="D193" s="3016">
        <v>21592339</v>
      </c>
      <c r="E193" s="429"/>
      <c r="F193" s="1688" t="s">
        <v>2483</v>
      </c>
      <c r="G193" s="3015" t="s">
        <v>40</v>
      </c>
      <c r="H193" s="698">
        <v>1496.65</v>
      </c>
      <c r="I193" s="3016">
        <v>7142375</v>
      </c>
      <c r="J193" s="429"/>
      <c r="K193" s="2443"/>
    </row>
    <row r="194" spans="1:11" ht="18" customHeight="1" x14ac:dyDescent="0.25">
      <c r="A194" s="2974" t="s">
        <v>2469</v>
      </c>
      <c r="B194" s="3097" t="s">
        <v>40</v>
      </c>
      <c r="C194" s="657">
        <v>3474.08</v>
      </c>
      <c r="D194" s="3016">
        <v>21616051</v>
      </c>
      <c r="E194" s="429"/>
      <c r="F194" s="2957" t="s">
        <v>2630</v>
      </c>
      <c r="G194" s="3015"/>
      <c r="H194" s="698">
        <v>509.7</v>
      </c>
      <c r="I194" s="3016">
        <v>7261969</v>
      </c>
      <c r="J194" s="429"/>
      <c r="K194" s="2443"/>
    </row>
    <row r="195" spans="1:11" ht="18" customHeight="1" x14ac:dyDescent="0.25">
      <c r="A195" s="4648" t="s">
        <v>2495</v>
      </c>
      <c r="B195" s="1835" t="s">
        <v>40</v>
      </c>
      <c r="C195" s="658">
        <v>333.88</v>
      </c>
      <c r="D195" s="1792">
        <v>21648693</v>
      </c>
      <c r="E195" s="429"/>
      <c r="F195" s="2963" t="s">
        <v>2629</v>
      </c>
      <c r="G195" s="1835"/>
      <c r="H195" s="697">
        <v>450</v>
      </c>
      <c r="I195" s="1792">
        <v>7261969</v>
      </c>
      <c r="J195" s="429"/>
      <c r="K195" s="2443"/>
    </row>
    <row r="196" spans="1:11" ht="18" customHeight="1" x14ac:dyDescent="0.25">
      <c r="A196" s="2409" t="s">
        <v>2482</v>
      </c>
      <c r="B196" s="2396" t="s">
        <v>40</v>
      </c>
      <c r="C196" s="697">
        <v>2810.2</v>
      </c>
      <c r="D196" s="1792">
        <v>21649847</v>
      </c>
      <c r="E196" s="429"/>
      <c r="F196" s="2967" t="s">
        <v>2623</v>
      </c>
      <c r="G196" s="2396"/>
      <c r="H196" s="697">
        <v>267</v>
      </c>
      <c r="I196" s="1792">
        <v>7393642</v>
      </c>
      <c r="J196" s="429"/>
      <c r="K196" s="2443"/>
    </row>
    <row r="197" spans="1:11" ht="18" customHeight="1" x14ac:dyDescent="0.25">
      <c r="A197" s="2964" t="s">
        <v>2632</v>
      </c>
      <c r="B197" s="585"/>
      <c r="C197" s="657">
        <v>431.5</v>
      </c>
      <c r="D197" s="454">
        <v>21677413</v>
      </c>
      <c r="E197" s="429"/>
      <c r="F197" s="4650" t="s">
        <v>2495</v>
      </c>
      <c r="G197" s="1752" t="s">
        <v>40</v>
      </c>
      <c r="H197" s="697">
        <v>184.75</v>
      </c>
      <c r="I197" s="1754">
        <v>7807334</v>
      </c>
      <c r="J197" s="429"/>
      <c r="K197" s="2443"/>
    </row>
    <row r="198" spans="1:11" ht="18" customHeight="1" x14ac:dyDescent="0.25">
      <c r="A198" s="1410" t="s">
        <v>2633</v>
      </c>
      <c r="B198" s="1803"/>
      <c r="C198" s="658">
        <v>435.1</v>
      </c>
      <c r="D198" s="1792">
        <v>21677413</v>
      </c>
      <c r="E198" s="429"/>
      <c r="F198" s="493" t="s">
        <v>2002</v>
      </c>
      <c r="G198" s="585" t="s">
        <v>40</v>
      </c>
      <c r="H198" s="698">
        <v>197.9</v>
      </c>
      <c r="I198" s="454">
        <v>7807334</v>
      </c>
      <c r="J198" s="429"/>
      <c r="K198" s="2443"/>
    </row>
    <row r="199" spans="1:11" ht="18" customHeight="1" x14ac:dyDescent="0.25">
      <c r="A199" s="1691" t="s">
        <v>2634</v>
      </c>
      <c r="B199" s="585"/>
      <c r="C199" s="657">
        <v>429.8</v>
      </c>
      <c r="D199" s="454">
        <v>21706494</v>
      </c>
      <c r="E199" s="429"/>
      <c r="F199" s="1688" t="s">
        <v>748</v>
      </c>
      <c r="G199" s="2043" t="s">
        <v>40</v>
      </c>
      <c r="H199" s="697">
        <v>232.88</v>
      </c>
      <c r="I199" s="1793">
        <v>7818543</v>
      </c>
      <c r="J199" s="429"/>
      <c r="K199" s="2443"/>
    </row>
    <row r="200" spans="1:11" ht="18" customHeight="1" x14ac:dyDescent="0.25">
      <c r="A200" s="1688" t="s">
        <v>1792</v>
      </c>
      <c r="B200" s="2047"/>
      <c r="C200" s="658">
        <v>38.799999999999997</v>
      </c>
      <c r="D200" s="1792">
        <v>22124658</v>
      </c>
      <c r="E200" s="429"/>
      <c r="F200" s="2957" t="s">
        <v>2635</v>
      </c>
      <c r="G200" s="2043"/>
      <c r="H200" s="697">
        <v>610.79999999999995</v>
      </c>
      <c r="I200" s="1793">
        <v>7962908</v>
      </c>
      <c r="J200" s="429"/>
      <c r="K200" s="2443"/>
    </row>
    <row r="201" spans="1:11" ht="18" customHeight="1" x14ac:dyDescent="0.25">
      <c r="A201" s="3286" t="s">
        <v>2483</v>
      </c>
      <c r="B201" s="3188" t="s">
        <v>40</v>
      </c>
      <c r="C201" s="697">
        <v>2159.0500000000002</v>
      </c>
      <c r="D201" s="1793">
        <v>22139599</v>
      </c>
      <c r="E201" s="429"/>
      <c r="F201" s="3294" t="s">
        <v>1826</v>
      </c>
      <c r="G201" s="1803" t="s">
        <v>40</v>
      </c>
      <c r="H201" s="697">
        <v>19.899999999999999</v>
      </c>
      <c r="I201" s="1793">
        <v>7994739</v>
      </c>
      <c r="J201" s="429"/>
      <c r="K201" s="2443"/>
    </row>
    <row r="202" spans="1:11" ht="18" customHeight="1" x14ac:dyDescent="0.25">
      <c r="A202" s="1829" t="s">
        <v>2623</v>
      </c>
      <c r="B202" s="1384"/>
      <c r="C202" s="658">
        <v>299.2</v>
      </c>
      <c r="D202" s="1566">
        <v>22144620</v>
      </c>
      <c r="E202" s="429"/>
      <c r="F202" s="3090" t="s">
        <v>2345</v>
      </c>
      <c r="G202" s="1803" t="s">
        <v>40</v>
      </c>
      <c r="H202" s="697">
        <v>49.64</v>
      </c>
      <c r="I202" s="1792">
        <v>8023018</v>
      </c>
      <c r="J202" s="429"/>
      <c r="K202" s="2443"/>
    </row>
    <row r="203" spans="1:11" ht="18" customHeight="1" x14ac:dyDescent="0.25">
      <c r="A203" s="1465" t="s">
        <v>2002</v>
      </c>
      <c r="B203" s="1790" t="s">
        <v>40</v>
      </c>
      <c r="C203" s="658">
        <v>303.44</v>
      </c>
      <c r="D203" s="1792">
        <v>22154990</v>
      </c>
      <c r="E203" s="429"/>
      <c r="F203" s="493" t="s">
        <v>2634</v>
      </c>
      <c r="G203" s="1384"/>
      <c r="H203" s="697">
        <v>308.3</v>
      </c>
      <c r="I203" s="1793">
        <v>8073571</v>
      </c>
      <c r="J203" s="429"/>
      <c r="K203" s="2443"/>
    </row>
    <row r="204" spans="1:11" ht="18" customHeight="1" x14ac:dyDescent="0.25">
      <c r="A204" s="1469" t="s">
        <v>748</v>
      </c>
      <c r="B204" s="1790" t="s">
        <v>40</v>
      </c>
      <c r="C204" s="658">
        <v>342.08</v>
      </c>
      <c r="D204" s="1792">
        <v>22156602</v>
      </c>
      <c r="E204" s="429"/>
      <c r="F204" s="2323" t="s">
        <v>2632</v>
      </c>
      <c r="G204" s="1790"/>
      <c r="H204" s="697">
        <v>269.39999999999998</v>
      </c>
      <c r="I204" s="1792">
        <v>8073603</v>
      </c>
      <c r="J204" s="429"/>
      <c r="K204" s="2443"/>
    </row>
    <row r="205" spans="1:11" ht="18" customHeight="1" x14ac:dyDescent="0.25">
      <c r="A205" s="3291" t="s">
        <v>1833</v>
      </c>
      <c r="B205" s="1790" t="s">
        <v>40</v>
      </c>
      <c r="C205" s="657">
        <v>48.54</v>
      </c>
      <c r="D205" s="1792">
        <v>22225372</v>
      </c>
      <c r="E205" s="429"/>
      <c r="F205" s="2960" t="s">
        <v>2633</v>
      </c>
      <c r="G205" s="1790"/>
      <c r="H205" s="697">
        <v>253.8</v>
      </c>
      <c r="I205" s="1792">
        <v>8073603</v>
      </c>
      <c r="J205" s="429"/>
      <c r="K205" s="2443"/>
    </row>
    <row r="206" spans="1:11" ht="18" customHeight="1" x14ac:dyDescent="0.25">
      <c r="A206" s="1726" t="s">
        <v>921</v>
      </c>
      <c r="B206" s="3292"/>
      <c r="C206" s="658">
        <v>11.1</v>
      </c>
      <c r="D206" s="1754">
        <v>22289852</v>
      </c>
      <c r="E206" s="429"/>
      <c r="F206" s="4721" t="s">
        <v>2631</v>
      </c>
      <c r="G206" s="585"/>
      <c r="H206" s="698">
        <v>224.1</v>
      </c>
      <c r="I206" s="454">
        <v>8074487</v>
      </c>
      <c r="J206" s="429"/>
      <c r="K206" s="2443"/>
    </row>
    <row r="207" spans="1:11" ht="18" customHeight="1" x14ac:dyDescent="0.25">
      <c r="A207" s="523" t="s">
        <v>2190</v>
      </c>
      <c r="B207" s="585" t="s">
        <v>40</v>
      </c>
      <c r="C207" s="657">
        <v>21.3</v>
      </c>
      <c r="D207" s="454">
        <v>22289852</v>
      </c>
      <c r="E207" s="429"/>
      <c r="F207" s="1390" t="s">
        <v>2026</v>
      </c>
      <c r="G207" s="1752"/>
      <c r="H207" s="697">
        <v>14.29</v>
      </c>
      <c r="I207" s="1753">
        <v>8198130</v>
      </c>
      <c r="J207" s="429"/>
      <c r="K207" s="2443"/>
    </row>
    <row r="208" spans="1:11" ht="18" customHeight="1" x14ac:dyDescent="0.25">
      <c r="A208" s="1761" t="s">
        <v>1826</v>
      </c>
      <c r="B208" s="335" t="s">
        <v>40</v>
      </c>
      <c r="C208" s="657">
        <v>17.382000000000001</v>
      </c>
      <c r="D208" s="457">
        <v>22329630</v>
      </c>
      <c r="E208" s="429"/>
      <c r="F208" s="494" t="s">
        <v>1790</v>
      </c>
      <c r="G208" s="566"/>
      <c r="H208" s="698">
        <v>4.2560000000000002</v>
      </c>
      <c r="I208" s="476">
        <v>8387264</v>
      </c>
      <c r="J208" s="429"/>
      <c r="K208" s="2443"/>
    </row>
    <row r="209" spans="1:11" ht="18" customHeight="1" x14ac:dyDescent="0.25">
      <c r="A209" s="2323" t="s">
        <v>2558</v>
      </c>
      <c r="B209" s="335"/>
      <c r="C209" s="658">
        <v>157</v>
      </c>
      <c r="D209" s="457">
        <v>22398202</v>
      </c>
      <c r="E209" s="429"/>
      <c r="F209" s="1688" t="s">
        <v>1101</v>
      </c>
      <c r="G209" s="573"/>
      <c r="H209" s="698">
        <v>64.650000000000006</v>
      </c>
      <c r="I209" s="457">
        <v>8597328</v>
      </c>
      <c r="J209" s="429"/>
      <c r="K209" s="2443"/>
    </row>
    <row r="210" spans="1:11" ht="18" customHeight="1" x14ac:dyDescent="0.25">
      <c r="A210" s="1688" t="s">
        <v>1101</v>
      </c>
      <c r="B210" s="1386"/>
      <c r="C210" s="658">
        <v>194.7</v>
      </c>
      <c r="D210" s="457">
        <v>22398564</v>
      </c>
      <c r="E210" s="429"/>
      <c r="F210" s="2192" t="s">
        <v>2558</v>
      </c>
      <c r="G210" s="335"/>
      <c r="H210" s="697">
        <v>113.9</v>
      </c>
      <c r="I210" s="457">
        <v>8691748</v>
      </c>
      <c r="J210" s="429"/>
      <c r="K210" s="2443"/>
    </row>
    <row r="211" spans="1:11" ht="18" customHeight="1" x14ac:dyDescent="0.25">
      <c r="A211" s="1390" t="s">
        <v>1758</v>
      </c>
      <c r="B211" s="1396"/>
      <c r="C211" s="657">
        <v>45.8</v>
      </c>
      <c r="D211" s="457">
        <v>22422475</v>
      </c>
      <c r="E211" s="429"/>
      <c r="F211" s="539" t="s">
        <v>1793</v>
      </c>
      <c r="G211" s="1389"/>
      <c r="H211" s="697">
        <v>8.85</v>
      </c>
      <c r="I211" s="457">
        <v>8721323</v>
      </c>
      <c r="J211" s="429"/>
      <c r="K211" s="2443"/>
    </row>
    <row r="212" spans="1:11" ht="18" customHeight="1" x14ac:dyDescent="0.25">
      <c r="A212" s="2976" t="s">
        <v>2556</v>
      </c>
      <c r="B212" s="585"/>
      <c r="C212" s="657">
        <v>35.21</v>
      </c>
      <c r="D212" s="454">
        <v>22424057</v>
      </c>
      <c r="E212" s="429"/>
      <c r="F212" s="495" t="s">
        <v>1792</v>
      </c>
      <c r="G212" s="1388"/>
      <c r="H212" s="698">
        <v>23.33</v>
      </c>
      <c r="I212" s="457">
        <v>8830350</v>
      </c>
      <c r="J212" s="429"/>
      <c r="K212" s="2443"/>
    </row>
    <row r="213" spans="1:11" ht="18" customHeight="1" x14ac:dyDescent="0.25">
      <c r="A213" s="496" t="s">
        <v>1793</v>
      </c>
      <c r="B213" s="566"/>
      <c r="C213" s="658">
        <v>13.28</v>
      </c>
      <c r="D213" s="457">
        <v>22425108</v>
      </c>
      <c r="E213" s="429"/>
      <c r="F213" s="497" t="s">
        <v>1594</v>
      </c>
      <c r="G213" s="585" t="s">
        <v>40</v>
      </c>
      <c r="H213" s="657">
        <v>2.39</v>
      </c>
      <c r="I213" s="454">
        <v>8849234</v>
      </c>
      <c r="J213" s="429"/>
      <c r="K213" s="2443"/>
    </row>
    <row r="214" spans="1:11" ht="18" customHeight="1" x14ac:dyDescent="0.25">
      <c r="A214" s="3091" t="s">
        <v>2217</v>
      </c>
      <c r="B214" s="585"/>
      <c r="C214" s="657">
        <v>26.1</v>
      </c>
      <c r="D214" s="454">
        <v>22440737</v>
      </c>
      <c r="E214" s="429"/>
      <c r="F214" s="493" t="s">
        <v>578</v>
      </c>
      <c r="G214" s="571" t="s">
        <v>40</v>
      </c>
      <c r="H214" s="697">
        <v>4</v>
      </c>
      <c r="I214" s="438">
        <v>8952684</v>
      </c>
      <c r="J214" s="429"/>
      <c r="K214" s="2443"/>
    </row>
    <row r="215" spans="1:11" ht="18" customHeight="1" x14ac:dyDescent="0.25">
      <c r="A215" s="493" t="s">
        <v>575</v>
      </c>
      <c r="B215" s="618"/>
      <c r="C215" s="658">
        <v>21</v>
      </c>
      <c r="D215" s="455">
        <v>22442060</v>
      </c>
      <c r="E215" s="429"/>
      <c r="F215" s="1390" t="s">
        <v>2153</v>
      </c>
      <c r="G215" s="570"/>
      <c r="H215" s="698">
        <v>345.3</v>
      </c>
      <c r="I215" s="442">
        <v>9054913</v>
      </c>
      <c r="J215" s="429"/>
      <c r="K215" s="2443"/>
    </row>
    <row r="216" spans="1:11" ht="18" customHeight="1" x14ac:dyDescent="0.25">
      <c r="A216" s="493" t="s">
        <v>2026</v>
      </c>
      <c r="B216" s="335"/>
      <c r="C216" s="658">
        <v>13.9</v>
      </c>
      <c r="D216" s="457">
        <v>22457915</v>
      </c>
      <c r="E216" s="429"/>
      <c r="F216" s="2083" t="s">
        <v>2219</v>
      </c>
      <c r="G216" s="1364"/>
      <c r="H216" s="697">
        <v>212.22</v>
      </c>
      <c r="I216" s="442">
        <v>9577760</v>
      </c>
      <c r="J216" s="429"/>
      <c r="K216" s="2443"/>
    </row>
    <row r="217" spans="1:11" ht="18" customHeight="1" x14ac:dyDescent="0.25">
      <c r="A217" s="3078" t="s">
        <v>1116</v>
      </c>
      <c r="B217" s="3092"/>
      <c r="C217" s="658">
        <v>18.989999999999998</v>
      </c>
      <c r="D217" s="455">
        <v>22467085</v>
      </c>
      <c r="E217" s="429"/>
      <c r="F217" s="3096" t="s">
        <v>2556</v>
      </c>
      <c r="G217" s="335"/>
      <c r="H217" s="697">
        <v>29.78</v>
      </c>
      <c r="I217" s="457">
        <v>9844809</v>
      </c>
      <c r="J217" s="429"/>
      <c r="K217" s="2443"/>
    </row>
    <row r="218" spans="1:11" ht="18" customHeight="1" x14ac:dyDescent="0.25">
      <c r="A218" s="1688" t="s">
        <v>1790</v>
      </c>
      <c r="B218" s="566"/>
      <c r="C218" s="658">
        <v>11.058999999999999</v>
      </c>
      <c r="D218" s="1754">
        <v>22568224</v>
      </c>
      <c r="E218" s="429"/>
      <c r="F218" s="1688" t="s">
        <v>575</v>
      </c>
      <c r="G218" s="570"/>
      <c r="H218" s="697">
        <v>14.79</v>
      </c>
      <c r="I218" s="1754">
        <v>9897425</v>
      </c>
      <c r="J218" s="429"/>
      <c r="K218" s="2443"/>
    </row>
    <row r="219" spans="1:11" ht="18" customHeight="1" x14ac:dyDescent="0.25">
      <c r="A219" s="493" t="s">
        <v>2153</v>
      </c>
      <c r="B219" s="1397"/>
      <c r="C219" s="657">
        <v>485</v>
      </c>
      <c r="D219" s="456">
        <v>22599086</v>
      </c>
      <c r="E219" s="429"/>
      <c r="F219" s="2979" t="s">
        <v>2217</v>
      </c>
      <c r="G219" s="335"/>
      <c r="H219" s="698">
        <v>24.09</v>
      </c>
      <c r="I219" s="456">
        <v>9897710</v>
      </c>
      <c r="J219" s="429"/>
      <c r="K219" s="2443"/>
    </row>
    <row r="220" spans="1:11" ht="18" customHeight="1" x14ac:dyDescent="0.25">
      <c r="A220" s="499" t="s">
        <v>1756</v>
      </c>
      <c r="B220" s="585" t="s">
        <v>40</v>
      </c>
      <c r="C220" s="657">
        <v>12.83</v>
      </c>
      <c r="D220" s="454">
        <v>22600183</v>
      </c>
      <c r="E220" s="427"/>
      <c r="F220" s="523" t="s">
        <v>2585</v>
      </c>
      <c r="G220" s="585"/>
      <c r="H220" s="698">
        <v>8</v>
      </c>
      <c r="I220" s="442">
        <v>9902449</v>
      </c>
      <c r="J220" s="429"/>
      <c r="K220" s="2443"/>
    </row>
    <row r="221" spans="1:11" ht="18" customHeight="1" x14ac:dyDescent="0.25">
      <c r="A221" s="2975" t="s">
        <v>2152</v>
      </c>
      <c r="B221" s="335" t="s">
        <v>40</v>
      </c>
      <c r="C221" s="658">
        <v>4</v>
      </c>
      <c r="D221" s="440">
        <v>22603803</v>
      </c>
      <c r="E221" s="427"/>
      <c r="F221" s="493" t="s">
        <v>2346</v>
      </c>
      <c r="G221" s="335" t="s">
        <v>40</v>
      </c>
      <c r="H221" s="658">
        <v>80</v>
      </c>
      <c r="I221" s="492">
        <v>9905195</v>
      </c>
      <c r="J221" s="429"/>
      <c r="K221" s="2443"/>
    </row>
    <row r="222" spans="1:11" ht="18" customHeight="1" x14ac:dyDescent="0.25">
      <c r="A222" s="493" t="s">
        <v>1711</v>
      </c>
      <c r="B222" s="571" t="s">
        <v>40</v>
      </c>
      <c r="C222" s="658">
        <v>3.9020000000000001</v>
      </c>
      <c r="D222" s="455">
        <v>22605169</v>
      </c>
      <c r="E222" s="429"/>
      <c r="F222" s="493" t="s">
        <v>1768</v>
      </c>
      <c r="G222" s="597"/>
      <c r="H222" s="697">
        <v>1</v>
      </c>
      <c r="I222" s="455">
        <v>10060362</v>
      </c>
      <c r="J222" s="429"/>
      <c r="K222" s="2443"/>
    </row>
    <row r="223" spans="1:11" ht="18" customHeight="1" x14ac:dyDescent="0.25">
      <c r="A223" s="511" t="s">
        <v>1767</v>
      </c>
      <c r="B223" s="1397"/>
      <c r="C223" s="659">
        <v>4.0999999999999996</v>
      </c>
      <c r="D223" s="457">
        <v>22631535</v>
      </c>
      <c r="E223" s="429"/>
      <c r="F223" s="493" t="s">
        <v>1758</v>
      </c>
      <c r="G223" s="1396"/>
      <c r="H223" s="697">
        <v>28.57</v>
      </c>
      <c r="I223" s="464">
        <v>10069523</v>
      </c>
      <c r="J223" s="429"/>
      <c r="K223" s="2443"/>
    </row>
    <row r="224" spans="1:11" ht="18" customHeight="1" x14ac:dyDescent="0.25">
      <c r="A224" s="1455" t="s">
        <v>2346</v>
      </c>
      <c r="B224" s="1364" t="s">
        <v>40</v>
      </c>
      <c r="C224" s="658">
        <v>73.150000000000006</v>
      </c>
      <c r="D224" s="457">
        <v>22660758</v>
      </c>
      <c r="E224" s="429"/>
      <c r="F224" s="523" t="s">
        <v>2626</v>
      </c>
      <c r="G224" s="1397"/>
      <c r="H224" s="659">
        <v>1.78</v>
      </c>
      <c r="I224" s="464">
        <v>10083890</v>
      </c>
      <c r="J224" s="429"/>
      <c r="K224" s="2443"/>
    </row>
    <row r="225" spans="1:11" ht="18" customHeight="1" x14ac:dyDescent="0.25">
      <c r="A225" s="4720" t="s">
        <v>2487</v>
      </c>
      <c r="B225" s="4738"/>
      <c r="C225" s="658">
        <v>0.57999999999999996</v>
      </c>
      <c r="D225" s="1792">
        <v>22665893</v>
      </c>
      <c r="E225" s="429"/>
      <c r="F225" s="2984" t="s">
        <v>1100</v>
      </c>
      <c r="G225" s="2395" t="s">
        <v>40</v>
      </c>
      <c r="H225" s="697">
        <v>3.1</v>
      </c>
      <c r="I225" s="1792">
        <v>10088346</v>
      </c>
      <c r="J225" s="429"/>
      <c r="K225" s="2443"/>
    </row>
    <row r="226" spans="1:11" ht="18" customHeight="1" x14ac:dyDescent="0.25">
      <c r="A226" s="500" t="s">
        <v>1768</v>
      </c>
      <c r="B226" s="573"/>
      <c r="C226" s="659">
        <v>1</v>
      </c>
      <c r="D226" s="438">
        <v>22675669</v>
      </c>
      <c r="E226" s="429"/>
      <c r="F226" s="2498" t="s">
        <v>2190</v>
      </c>
      <c r="G226" s="1364" t="s">
        <v>40</v>
      </c>
      <c r="H226" s="697">
        <v>3.2</v>
      </c>
      <c r="I226" s="457">
        <v>10088835</v>
      </c>
      <c r="J226" s="429"/>
      <c r="K226" s="2443"/>
    </row>
    <row r="227" spans="1:11" ht="18" customHeight="1" x14ac:dyDescent="0.25">
      <c r="A227" s="2498" t="s">
        <v>2626</v>
      </c>
      <c r="B227" s="573"/>
      <c r="C227" s="659">
        <v>2.31</v>
      </c>
      <c r="D227" s="440">
        <v>22678193</v>
      </c>
      <c r="E227" s="429"/>
      <c r="F227" s="493" t="s">
        <v>921</v>
      </c>
      <c r="G227" s="580"/>
      <c r="H227" s="697">
        <v>3.16</v>
      </c>
      <c r="I227" s="462">
        <v>10088835</v>
      </c>
      <c r="J227" s="429"/>
      <c r="K227" s="2443"/>
    </row>
    <row r="228" spans="1:11" ht="18" customHeight="1" x14ac:dyDescent="0.25">
      <c r="A228" s="2313" t="s">
        <v>1100</v>
      </c>
      <c r="B228" s="335" t="s">
        <v>40</v>
      </c>
      <c r="C228" s="658">
        <v>6.23</v>
      </c>
      <c r="D228" s="457">
        <v>22708009</v>
      </c>
      <c r="E228" s="429"/>
      <c r="F228" s="511" t="s">
        <v>1756</v>
      </c>
      <c r="G228" s="335" t="s">
        <v>40</v>
      </c>
      <c r="H228" s="697">
        <v>9.5</v>
      </c>
      <c r="I228" s="442">
        <v>10148124</v>
      </c>
      <c r="J228" s="429"/>
      <c r="K228" s="2443"/>
    </row>
    <row r="229" spans="1:11" ht="18" customHeight="1" x14ac:dyDescent="0.25">
      <c r="A229" s="493" t="s">
        <v>1759</v>
      </c>
      <c r="B229" s="578"/>
      <c r="C229" s="659">
        <v>12</v>
      </c>
      <c r="D229" s="438">
        <v>22714293</v>
      </c>
      <c r="E229" s="429"/>
      <c r="F229" s="511" t="s">
        <v>1767</v>
      </c>
      <c r="G229" s="573"/>
      <c r="H229" s="697">
        <v>3</v>
      </c>
      <c r="I229" s="457">
        <v>10214884</v>
      </c>
      <c r="J229" s="429"/>
      <c r="K229" s="2443"/>
    </row>
    <row r="230" spans="1:11" ht="18" customHeight="1" x14ac:dyDescent="0.25">
      <c r="A230" s="523" t="s">
        <v>2585</v>
      </c>
      <c r="B230" s="335"/>
      <c r="C230" s="658">
        <v>9</v>
      </c>
      <c r="D230" s="438">
        <v>22766449</v>
      </c>
      <c r="E230" s="429"/>
      <c r="F230" s="2986" t="s">
        <v>2152</v>
      </c>
      <c r="G230" s="579" t="s">
        <v>40</v>
      </c>
      <c r="H230" s="697">
        <v>3</v>
      </c>
      <c r="I230" s="462">
        <v>10227558</v>
      </c>
      <c r="J230" s="429"/>
      <c r="K230" s="2443"/>
    </row>
    <row r="231" spans="1:11" ht="18" customHeight="1" x14ac:dyDescent="0.25">
      <c r="A231" s="493" t="s">
        <v>1594</v>
      </c>
      <c r="B231" s="335" t="s">
        <v>40</v>
      </c>
      <c r="C231" s="658">
        <v>8.1</v>
      </c>
      <c r="D231" s="438">
        <v>22774234</v>
      </c>
      <c r="E231" s="429"/>
      <c r="F231" s="524" t="s">
        <v>1102</v>
      </c>
      <c r="G231" s="335" t="s">
        <v>40</v>
      </c>
      <c r="H231" s="697">
        <v>5</v>
      </c>
      <c r="I231" s="462">
        <v>10229291</v>
      </c>
      <c r="J231" s="429"/>
      <c r="K231" s="2443"/>
    </row>
    <row r="232" spans="1:11" ht="18" customHeight="1" x14ac:dyDescent="0.25">
      <c r="A232" s="1458" t="s">
        <v>1102</v>
      </c>
      <c r="B232" s="335" t="s">
        <v>40</v>
      </c>
      <c r="C232" s="658">
        <v>5</v>
      </c>
      <c r="D232" s="438">
        <v>22779718</v>
      </c>
      <c r="E232" s="429"/>
      <c r="F232" s="2493" t="s">
        <v>2134</v>
      </c>
      <c r="G232" s="335"/>
      <c r="H232" s="658">
        <v>11.96</v>
      </c>
      <c r="I232" s="455">
        <v>10460787</v>
      </c>
      <c r="J232" s="429"/>
      <c r="K232" s="2443"/>
    </row>
    <row r="233" spans="1:11" ht="18" customHeight="1" x14ac:dyDescent="0.25">
      <c r="A233" s="2981" t="s">
        <v>2636</v>
      </c>
      <c r="B233" s="339" t="s">
        <v>40</v>
      </c>
      <c r="C233" s="658">
        <v>6.2</v>
      </c>
      <c r="D233" s="438">
        <v>22837570</v>
      </c>
      <c r="E233" s="429"/>
      <c r="F233" s="2313" t="s">
        <v>2636</v>
      </c>
      <c r="G233" s="601" t="s">
        <v>40</v>
      </c>
      <c r="H233" s="697">
        <v>9.1999999999999993</v>
      </c>
      <c r="I233" s="442">
        <v>10739820</v>
      </c>
      <c r="J233" s="429"/>
      <c r="K233" s="2443"/>
    </row>
    <row r="234" spans="1:11" ht="18" customHeight="1" x14ac:dyDescent="0.25">
      <c r="A234" s="497" t="s">
        <v>578</v>
      </c>
      <c r="B234" s="590" t="s">
        <v>40</v>
      </c>
      <c r="C234" s="658">
        <v>63.48</v>
      </c>
      <c r="D234" s="239">
        <v>22860824</v>
      </c>
      <c r="E234" s="429"/>
      <c r="F234" s="497" t="s">
        <v>1711</v>
      </c>
      <c r="G234" s="590" t="s">
        <v>40</v>
      </c>
      <c r="H234" s="697">
        <v>4.68</v>
      </c>
      <c r="I234" s="439">
        <v>10811568</v>
      </c>
      <c r="J234" s="429"/>
      <c r="K234" s="2443"/>
    </row>
    <row r="235" spans="1:11" ht="18" customHeight="1" x14ac:dyDescent="0.25">
      <c r="A235" s="2985" t="s">
        <v>2134</v>
      </c>
      <c r="B235" s="592"/>
      <c r="C235" s="658">
        <v>22.9</v>
      </c>
      <c r="D235" s="438">
        <v>22882026</v>
      </c>
      <c r="E235" s="429"/>
      <c r="F235" s="493" t="s">
        <v>1759</v>
      </c>
      <c r="G235" s="600"/>
      <c r="H235" s="697">
        <v>10</v>
      </c>
      <c r="I235" s="239">
        <v>11316637</v>
      </c>
      <c r="J235" s="429"/>
      <c r="K235" s="2443"/>
    </row>
    <row r="236" spans="1:11" ht="18" customHeight="1" x14ac:dyDescent="0.25">
      <c r="A236" s="497" t="s">
        <v>1959</v>
      </c>
      <c r="B236" s="576"/>
      <c r="C236" s="659">
        <v>1.1100000000000001</v>
      </c>
      <c r="D236" s="438">
        <v>22885976</v>
      </c>
      <c r="E236" s="429"/>
      <c r="F236" s="493" t="s">
        <v>1959</v>
      </c>
      <c r="G236" s="593"/>
      <c r="H236" s="697">
        <v>0.78</v>
      </c>
      <c r="I236" s="442">
        <v>11656657</v>
      </c>
      <c r="J236" s="429"/>
      <c r="K236" s="2443"/>
    </row>
    <row r="237" spans="1:11" ht="18" customHeight="1" x14ac:dyDescent="0.25">
      <c r="A237" s="493" t="s">
        <v>2625</v>
      </c>
      <c r="B237" s="592" t="s">
        <v>40</v>
      </c>
      <c r="C237" s="659">
        <v>5.35</v>
      </c>
      <c r="D237" s="440">
        <v>22940168</v>
      </c>
      <c r="E237" s="429"/>
      <c r="F237" s="493" t="s">
        <v>2625</v>
      </c>
      <c r="G237" s="601" t="s">
        <v>40</v>
      </c>
      <c r="H237" s="697">
        <v>3.89</v>
      </c>
      <c r="I237" s="442">
        <v>11894074</v>
      </c>
      <c r="J237" s="429"/>
      <c r="K237" s="2443"/>
    </row>
    <row r="238" spans="1:11" ht="18" customHeight="1" x14ac:dyDescent="0.25">
      <c r="A238" s="2083" t="s">
        <v>2219</v>
      </c>
      <c r="B238" s="335"/>
      <c r="C238" s="658">
        <v>796.18</v>
      </c>
      <c r="D238" s="438">
        <v>23104786</v>
      </c>
      <c r="E238" s="429"/>
      <c r="F238" s="554" t="s">
        <v>503</v>
      </c>
      <c r="G238" s="2069"/>
      <c r="H238" s="697"/>
      <c r="I238" s="442">
        <v>12945240</v>
      </c>
      <c r="J238" s="429"/>
      <c r="K238" s="2443"/>
    </row>
    <row r="239" spans="1:11" ht="18" customHeight="1" x14ac:dyDescent="0.25">
      <c r="A239" s="518" t="s">
        <v>503</v>
      </c>
      <c r="B239" s="627"/>
      <c r="C239" s="658"/>
      <c r="D239" s="438">
        <v>23460139</v>
      </c>
      <c r="E239" s="429"/>
      <c r="F239" s="2448" t="s">
        <v>2050</v>
      </c>
      <c r="G239" s="335"/>
      <c r="H239" s="697"/>
      <c r="I239" s="484" t="s">
        <v>482</v>
      </c>
      <c r="J239" s="429"/>
      <c r="K239" s="2443"/>
    </row>
    <row r="240" spans="1:11" ht="18" customHeight="1" x14ac:dyDescent="0.25">
      <c r="A240" s="2457" t="s">
        <v>2145</v>
      </c>
      <c r="B240" s="335"/>
      <c r="C240" s="657">
        <v>450</v>
      </c>
      <c r="D240" s="1504">
        <v>51036002</v>
      </c>
      <c r="E240" s="429"/>
      <c r="F240" s="2457" t="s">
        <v>2145</v>
      </c>
      <c r="G240" s="335"/>
      <c r="H240" s="1642"/>
      <c r="I240" s="1504"/>
      <c r="J240" s="429"/>
      <c r="K240" s="2443"/>
    </row>
    <row r="241" spans="1:11" ht="18" customHeight="1" x14ac:dyDescent="0.25">
      <c r="A241" s="2448" t="s">
        <v>2148</v>
      </c>
      <c r="B241" s="579"/>
      <c r="C241" s="668">
        <v>42</v>
      </c>
      <c r="D241" s="1504">
        <v>61931767</v>
      </c>
      <c r="E241" s="427"/>
      <c r="F241" s="2458" t="s">
        <v>1115</v>
      </c>
      <c r="G241" s="579"/>
      <c r="H241" s="718"/>
      <c r="I241" s="460"/>
      <c r="J241" s="427"/>
      <c r="K241" s="2443"/>
    </row>
    <row r="242" spans="1:11" ht="18" customHeight="1" x14ac:dyDescent="0.25">
      <c r="A242" s="2459" t="s">
        <v>2146</v>
      </c>
      <c r="B242" s="594"/>
      <c r="C242" s="658">
        <v>20</v>
      </c>
      <c r="D242" s="453">
        <v>83888468</v>
      </c>
      <c r="E242" s="429"/>
      <c r="F242" s="2441" t="s">
        <v>1117</v>
      </c>
      <c r="G242" s="594"/>
      <c r="H242" s="697"/>
      <c r="I242" s="484"/>
      <c r="J242" s="429"/>
      <c r="K242" s="2443"/>
    </row>
    <row r="243" spans="1:11" ht="18" customHeight="1" x14ac:dyDescent="0.25">
      <c r="A243" s="2460" t="s">
        <v>1114</v>
      </c>
      <c r="B243" s="1462"/>
      <c r="C243" s="658">
        <v>10</v>
      </c>
      <c r="D243" s="1464">
        <v>98119224</v>
      </c>
      <c r="E243" s="429"/>
      <c r="F243" s="2461" t="s">
        <v>1114</v>
      </c>
      <c r="G243" s="1462"/>
      <c r="H243" s="1463"/>
      <c r="I243" s="1464"/>
      <c r="J243" s="429"/>
      <c r="K243" s="2443"/>
    </row>
    <row r="244" spans="1:11" ht="18" customHeight="1" x14ac:dyDescent="0.25">
      <c r="A244" s="2066"/>
      <c r="B244" s="2067"/>
      <c r="C244" s="2063"/>
      <c r="D244" s="2064"/>
      <c r="E244" s="429"/>
      <c r="F244" s="2070"/>
      <c r="G244" s="2060"/>
      <c r="H244" s="2071"/>
      <c r="I244" s="2062"/>
      <c r="J244" s="429"/>
      <c r="K244" s="2443"/>
    </row>
    <row r="245" spans="1:11" ht="18" customHeight="1" x14ac:dyDescent="0.25">
      <c r="A245" s="142"/>
      <c r="B245" s="562"/>
      <c r="C245" s="677"/>
      <c r="D245" s="177"/>
      <c r="E245" s="429"/>
      <c r="F245" s="2431"/>
      <c r="G245" s="575"/>
      <c r="H245" s="719"/>
      <c r="I245" s="229"/>
      <c r="J245" s="429"/>
      <c r="K245" s="2443"/>
    </row>
    <row r="246" spans="1:11" ht="18" customHeight="1" x14ac:dyDescent="0.25">
      <c r="A246" s="142"/>
      <c r="B246" s="562"/>
      <c r="C246" s="677"/>
      <c r="D246" s="177"/>
      <c r="E246" s="429"/>
      <c r="F246" s="2431"/>
      <c r="G246" s="575"/>
      <c r="H246" s="719"/>
      <c r="I246" s="229"/>
      <c r="J246" s="429"/>
      <c r="K246" s="2443"/>
    </row>
    <row r="247" spans="1:11" ht="24" customHeight="1" x14ac:dyDescent="0.25">
      <c r="A247" s="1624" t="s">
        <v>2330</v>
      </c>
      <c r="B247" s="581"/>
      <c r="C247" s="2430" t="s">
        <v>480</v>
      </c>
      <c r="D247" s="653" t="s">
        <v>1118</v>
      </c>
      <c r="E247" s="429"/>
      <c r="F247" s="1624" t="s">
        <v>2343</v>
      </c>
      <c r="G247" s="581"/>
      <c r="H247" s="2430" t="s">
        <v>480</v>
      </c>
      <c r="I247" s="653" t="s">
        <v>1118</v>
      </c>
      <c r="J247" s="429"/>
      <c r="K247" s="2443"/>
    </row>
    <row r="248" spans="1:11" ht="18" customHeight="1" x14ac:dyDescent="0.25">
      <c r="A248" s="2976" t="s">
        <v>2621</v>
      </c>
      <c r="B248" s="596"/>
      <c r="C248" s="717">
        <v>645.9</v>
      </c>
      <c r="D248" s="482">
        <v>10114961</v>
      </c>
      <c r="E248" s="429"/>
      <c r="F248" s="2976" t="s">
        <v>2621</v>
      </c>
      <c r="G248" s="596"/>
      <c r="H248" s="717">
        <v>2447.4</v>
      </c>
      <c r="I248" s="482">
        <v>66883016</v>
      </c>
      <c r="J248" s="429"/>
      <c r="K248" s="2443"/>
    </row>
    <row r="249" spans="1:11" ht="18" customHeight="1" x14ac:dyDescent="0.25">
      <c r="A249" s="493" t="s">
        <v>2631</v>
      </c>
      <c r="B249" s="583"/>
      <c r="C249" s="697">
        <v>338.7</v>
      </c>
      <c r="D249" s="455">
        <v>10623444</v>
      </c>
      <c r="E249" s="429"/>
      <c r="F249" s="493" t="s">
        <v>2631</v>
      </c>
      <c r="G249" s="583"/>
      <c r="H249" s="697">
        <v>1903.4</v>
      </c>
      <c r="I249" s="455">
        <v>67113594</v>
      </c>
      <c r="J249" s="429"/>
      <c r="K249" s="2443"/>
    </row>
    <row r="250" spans="1:11" ht="18" customHeight="1" x14ac:dyDescent="0.25">
      <c r="A250" s="3293" t="s">
        <v>2469</v>
      </c>
      <c r="B250" s="4727" t="s">
        <v>40</v>
      </c>
      <c r="C250" s="3189">
        <v>3524.37</v>
      </c>
      <c r="D250" s="3190">
        <v>10905673</v>
      </c>
      <c r="E250" s="429"/>
      <c r="F250" s="3293" t="s">
        <v>2469</v>
      </c>
      <c r="G250" s="4727" t="s">
        <v>40</v>
      </c>
      <c r="H250" s="3189">
        <v>12975.49</v>
      </c>
      <c r="I250" s="3190">
        <v>70152122</v>
      </c>
      <c r="J250" s="429"/>
      <c r="K250" s="2443"/>
    </row>
    <row r="251" spans="1:11" ht="18" customHeight="1" x14ac:dyDescent="0.25">
      <c r="A251" s="2437" t="s">
        <v>2482</v>
      </c>
      <c r="B251" s="2043" t="s">
        <v>40</v>
      </c>
      <c r="C251" s="697">
        <v>3067.47</v>
      </c>
      <c r="D251" s="1792">
        <v>10968479</v>
      </c>
      <c r="E251" s="429"/>
      <c r="F251" s="2437" t="s">
        <v>2478</v>
      </c>
      <c r="G251" s="2850" t="s">
        <v>40</v>
      </c>
      <c r="H251" s="697">
        <v>13012.57</v>
      </c>
      <c r="I251" s="1792">
        <v>70228198</v>
      </c>
      <c r="J251" s="429"/>
      <c r="K251" s="2443"/>
    </row>
    <row r="252" spans="1:11" ht="18" customHeight="1" x14ac:dyDescent="0.25">
      <c r="A252" s="3032" t="s">
        <v>2483</v>
      </c>
      <c r="B252" s="1835" t="s">
        <v>40</v>
      </c>
      <c r="C252" s="698">
        <v>2234.3000000000002</v>
      </c>
      <c r="D252" s="3016">
        <v>10971628</v>
      </c>
      <c r="E252" s="429"/>
      <c r="F252" s="4745" t="s">
        <v>2792</v>
      </c>
      <c r="G252" s="3289" t="s">
        <v>40</v>
      </c>
      <c r="H252" s="698">
        <v>15783.5</v>
      </c>
      <c r="I252" s="3016">
        <v>70239690</v>
      </c>
      <c r="J252" s="429"/>
      <c r="K252" s="2443"/>
    </row>
    <row r="253" spans="1:11" ht="18" customHeight="1" x14ac:dyDescent="0.25">
      <c r="A253" s="3203" t="s">
        <v>2792</v>
      </c>
      <c r="B253" s="4727" t="s">
        <v>40</v>
      </c>
      <c r="C253" s="698">
        <v>3835.3</v>
      </c>
      <c r="D253" s="3016">
        <v>10975446</v>
      </c>
      <c r="E253" s="429"/>
      <c r="F253" s="2957" t="s">
        <v>2630</v>
      </c>
      <c r="G253" s="3015"/>
      <c r="H253" s="698">
        <v>3742.5</v>
      </c>
      <c r="I253" s="3016">
        <v>70317206</v>
      </c>
      <c r="J253" s="429"/>
      <c r="K253" s="2443"/>
    </row>
    <row r="254" spans="1:11" ht="18" customHeight="1" x14ac:dyDescent="0.25">
      <c r="A254" s="1688" t="s">
        <v>2478</v>
      </c>
      <c r="B254" s="3097" t="s">
        <v>40</v>
      </c>
      <c r="C254" s="698">
        <v>2897.7</v>
      </c>
      <c r="D254" s="3016">
        <v>10982482</v>
      </c>
      <c r="E254" s="429"/>
      <c r="F254" s="1688" t="s">
        <v>2634</v>
      </c>
      <c r="G254" s="3015"/>
      <c r="H254" s="698">
        <v>3435</v>
      </c>
      <c r="I254" s="3019">
        <v>70317206</v>
      </c>
      <c r="J254" s="429"/>
      <c r="K254" s="2443"/>
    </row>
    <row r="255" spans="1:11" ht="18" customHeight="1" x14ac:dyDescent="0.25">
      <c r="A255" s="2952" t="s">
        <v>2487</v>
      </c>
      <c r="B255" s="1835"/>
      <c r="C255" s="697">
        <v>3.94</v>
      </c>
      <c r="D255" s="1792">
        <v>11212082</v>
      </c>
      <c r="E255" s="429"/>
      <c r="F255" s="1375" t="s">
        <v>2482</v>
      </c>
      <c r="G255" s="1835" t="s">
        <v>40</v>
      </c>
      <c r="H255" s="697">
        <v>14798.02</v>
      </c>
      <c r="I255" s="1792">
        <v>70320719</v>
      </c>
      <c r="J255" s="429"/>
      <c r="K255" s="2443"/>
    </row>
    <row r="256" spans="1:11" ht="18" customHeight="1" x14ac:dyDescent="0.25">
      <c r="A256" s="2964" t="s">
        <v>2630</v>
      </c>
      <c r="B256" s="585"/>
      <c r="C256" s="698">
        <v>635</v>
      </c>
      <c r="D256" s="454">
        <v>11221271</v>
      </c>
      <c r="E256" s="429"/>
      <c r="F256" s="3286" t="s">
        <v>2483</v>
      </c>
      <c r="G256" s="3188" t="s">
        <v>40</v>
      </c>
      <c r="H256" s="698">
        <v>12220.72</v>
      </c>
      <c r="I256" s="454">
        <v>70326590</v>
      </c>
      <c r="J256" s="429"/>
      <c r="K256" s="2443"/>
    </row>
    <row r="257" spans="1:11" ht="18" customHeight="1" x14ac:dyDescent="0.25">
      <c r="A257" s="2409" t="s">
        <v>1833</v>
      </c>
      <c r="B257" s="2395" t="s">
        <v>40</v>
      </c>
      <c r="C257" s="697">
        <v>54.569000000000003</v>
      </c>
      <c r="D257" s="1792">
        <v>11411017</v>
      </c>
      <c r="E257" s="429"/>
      <c r="F257" s="3083" t="s">
        <v>2344</v>
      </c>
      <c r="G257" s="2395"/>
      <c r="H257" s="697">
        <v>30.18</v>
      </c>
      <c r="I257" s="1792">
        <v>71371094</v>
      </c>
      <c r="J257" s="429"/>
      <c r="K257" s="2443"/>
    </row>
    <row r="258" spans="1:11" ht="18" customHeight="1" x14ac:dyDescent="0.25">
      <c r="A258" s="2969" t="s">
        <v>2623</v>
      </c>
      <c r="B258" s="2395"/>
      <c r="C258" s="697">
        <v>297.3</v>
      </c>
      <c r="D258" s="1792">
        <v>11511246</v>
      </c>
      <c r="E258" s="429"/>
      <c r="F258" s="2969" t="s">
        <v>2623</v>
      </c>
      <c r="G258" s="2395"/>
      <c r="H258" s="697">
        <v>2145.6</v>
      </c>
      <c r="I258" s="1792">
        <v>71669806</v>
      </c>
      <c r="J258" s="429"/>
      <c r="K258" s="2443"/>
    </row>
    <row r="259" spans="1:11" ht="18" customHeight="1" x14ac:dyDescent="0.25">
      <c r="A259" s="4651" t="s">
        <v>2495</v>
      </c>
      <c r="B259" s="585" t="s">
        <v>40</v>
      </c>
      <c r="C259" s="698">
        <v>353.35</v>
      </c>
      <c r="D259" s="454">
        <v>11653344</v>
      </c>
      <c r="E259" s="429"/>
      <c r="F259" s="4651" t="s">
        <v>2495</v>
      </c>
      <c r="G259" s="585" t="s">
        <v>40</v>
      </c>
      <c r="H259" s="698">
        <v>1643.28</v>
      </c>
      <c r="I259" s="454">
        <v>72097449</v>
      </c>
      <c r="J259" s="429"/>
      <c r="K259" s="2443"/>
    </row>
    <row r="260" spans="1:11" ht="18" customHeight="1" x14ac:dyDescent="0.25">
      <c r="A260" s="1390" t="s">
        <v>2002</v>
      </c>
      <c r="B260" s="2043" t="s">
        <v>40</v>
      </c>
      <c r="C260" s="697">
        <v>308.7</v>
      </c>
      <c r="D260" s="1792">
        <v>11666552</v>
      </c>
      <c r="E260" s="429"/>
      <c r="F260" s="1390" t="s">
        <v>2002</v>
      </c>
      <c r="G260" s="2043" t="s">
        <v>40</v>
      </c>
      <c r="H260" s="697">
        <v>1899.2</v>
      </c>
      <c r="I260" s="1792">
        <v>72104476</v>
      </c>
      <c r="J260" s="429"/>
      <c r="K260" s="2443"/>
    </row>
    <row r="261" spans="1:11" ht="18" customHeight="1" x14ac:dyDescent="0.25">
      <c r="A261" s="1773" t="s">
        <v>748</v>
      </c>
      <c r="B261" s="1803" t="s">
        <v>40</v>
      </c>
      <c r="C261" s="697">
        <v>370.97</v>
      </c>
      <c r="D261" s="1793">
        <v>11687915</v>
      </c>
      <c r="E261" s="429"/>
      <c r="F261" s="1773" t="s">
        <v>748</v>
      </c>
      <c r="G261" s="1803" t="s">
        <v>40</v>
      </c>
      <c r="H261" s="697">
        <v>2028.49</v>
      </c>
      <c r="I261" s="1793">
        <v>72143233</v>
      </c>
      <c r="J261" s="429"/>
      <c r="K261" s="2443"/>
    </row>
    <row r="262" spans="1:11" ht="18" customHeight="1" x14ac:dyDescent="0.25">
      <c r="A262" s="1390" t="s">
        <v>2634</v>
      </c>
      <c r="B262" s="1803"/>
      <c r="C262" s="697">
        <v>431.2</v>
      </c>
      <c r="D262" s="1793">
        <v>11979474</v>
      </c>
      <c r="E262" s="429"/>
      <c r="F262" s="2975" t="s">
        <v>2487</v>
      </c>
      <c r="G262" s="1803"/>
      <c r="H262" s="697">
        <v>15.53</v>
      </c>
      <c r="I262" s="1793">
        <v>72923464</v>
      </c>
      <c r="J262" s="429"/>
      <c r="K262" s="2443"/>
    </row>
    <row r="263" spans="1:11" ht="18" customHeight="1" x14ac:dyDescent="0.25">
      <c r="A263" s="1765" t="s">
        <v>1826</v>
      </c>
      <c r="B263" s="1384" t="s">
        <v>40</v>
      </c>
      <c r="C263" s="697">
        <v>24.332000000000001</v>
      </c>
      <c r="D263" s="1793">
        <v>12039831</v>
      </c>
      <c r="E263" s="429"/>
      <c r="F263" s="1488" t="s">
        <v>2345</v>
      </c>
      <c r="G263" s="1384" t="s">
        <v>40</v>
      </c>
      <c r="H263" s="697">
        <v>185.98</v>
      </c>
      <c r="I263" s="1792">
        <v>73544160</v>
      </c>
      <c r="J263" s="429"/>
      <c r="K263" s="2443"/>
    </row>
    <row r="264" spans="1:11" ht="18" customHeight="1" x14ac:dyDescent="0.25">
      <c r="A264" s="493" t="s">
        <v>1792</v>
      </c>
      <c r="B264" s="2224"/>
      <c r="C264" s="697">
        <v>52.45</v>
      </c>
      <c r="D264" s="1792">
        <v>12333758</v>
      </c>
      <c r="E264" s="429"/>
      <c r="F264" s="1760" t="s">
        <v>1826</v>
      </c>
      <c r="G264" s="1790" t="s">
        <v>40</v>
      </c>
      <c r="H264" s="697">
        <v>133.34</v>
      </c>
      <c r="I264" s="1793">
        <v>74301840</v>
      </c>
      <c r="J264" s="429"/>
      <c r="K264" s="2443"/>
    </row>
    <row r="265" spans="1:11" ht="18" customHeight="1" x14ac:dyDescent="0.25">
      <c r="A265" s="1726" t="s">
        <v>2026</v>
      </c>
      <c r="B265" s="1752"/>
      <c r="C265" s="697">
        <v>36.1</v>
      </c>
      <c r="D265" s="1753">
        <v>12582714</v>
      </c>
      <c r="E265" s="429"/>
      <c r="F265" s="2961" t="s">
        <v>2629</v>
      </c>
      <c r="G265" s="3082"/>
      <c r="H265" s="697">
        <v>2388</v>
      </c>
      <c r="I265" s="1754">
        <v>74637080</v>
      </c>
      <c r="J265" s="429"/>
      <c r="K265" s="2443"/>
    </row>
    <row r="266" spans="1:11" ht="18" customHeight="1" x14ac:dyDescent="0.25">
      <c r="A266" s="494" t="s">
        <v>1101</v>
      </c>
      <c r="B266" s="573"/>
      <c r="C266" s="698">
        <v>81.099999999999994</v>
      </c>
      <c r="D266" s="333">
        <v>12663992</v>
      </c>
      <c r="E266" s="429"/>
      <c r="F266" s="494" t="s">
        <v>1790</v>
      </c>
      <c r="G266" s="566"/>
      <c r="H266" s="698">
        <v>35.54</v>
      </c>
      <c r="I266" s="476">
        <v>74930672</v>
      </c>
      <c r="J266" s="429"/>
      <c r="K266" s="2443"/>
    </row>
    <row r="267" spans="1:11" ht="18" customHeight="1" x14ac:dyDescent="0.25">
      <c r="A267" s="2796" t="s">
        <v>1790</v>
      </c>
      <c r="B267" s="1869"/>
      <c r="C267" s="697">
        <v>7.0579999999999998</v>
      </c>
      <c r="D267" s="1793">
        <v>12674048</v>
      </c>
      <c r="E267" s="429"/>
      <c r="F267" s="3295" t="s">
        <v>1793</v>
      </c>
      <c r="G267" s="3249"/>
      <c r="H267" s="697">
        <v>65.069999999999993</v>
      </c>
      <c r="I267" s="1792">
        <v>75250912</v>
      </c>
      <c r="J267" s="429"/>
      <c r="K267" s="2443"/>
    </row>
    <row r="268" spans="1:11" ht="18" customHeight="1" x14ac:dyDescent="0.25">
      <c r="A268" s="2957" t="s">
        <v>2558</v>
      </c>
      <c r="B268" s="335"/>
      <c r="C268" s="698">
        <v>162.4</v>
      </c>
      <c r="D268" s="457">
        <v>12692101</v>
      </c>
      <c r="E268" s="429"/>
      <c r="F268" s="1688" t="s">
        <v>1758</v>
      </c>
      <c r="G268" s="572"/>
      <c r="H268" s="698">
        <v>240.6</v>
      </c>
      <c r="I268" s="464">
        <v>75653174</v>
      </c>
      <c r="J268" s="429"/>
      <c r="K268" s="2443"/>
    </row>
    <row r="269" spans="1:11" ht="18" customHeight="1" x14ac:dyDescent="0.25">
      <c r="A269" s="496" t="s">
        <v>1793</v>
      </c>
      <c r="B269" s="566"/>
      <c r="C269" s="697">
        <v>14.75</v>
      </c>
      <c r="D269" s="457">
        <v>12699243</v>
      </c>
      <c r="E269" s="429"/>
      <c r="F269" s="2981" t="s">
        <v>2556</v>
      </c>
      <c r="G269" s="335"/>
      <c r="H269" s="697">
        <v>255.91</v>
      </c>
      <c r="I269" s="457">
        <v>75806651</v>
      </c>
      <c r="J269" s="429"/>
      <c r="K269" s="2443"/>
    </row>
    <row r="270" spans="1:11" ht="18" customHeight="1" x14ac:dyDescent="0.25">
      <c r="A270" s="499" t="s">
        <v>1594</v>
      </c>
      <c r="B270" s="1384" t="s">
        <v>40</v>
      </c>
      <c r="C270" s="658">
        <v>5.0780000000000003</v>
      </c>
      <c r="D270" s="457">
        <v>12967976</v>
      </c>
      <c r="E270" s="429"/>
      <c r="F270" s="499" t="s">
        <v>1792</v>
      </c>
      <c r="G270" s="1388"/>
      <c r="H270" s="697">
        <v>66.790000000000006</v>
      </c>
      <c r="I270" s="457">
        <v>75906634</v>
      </c>
      <c r="J270" s="429"/>
      <c r="K270" s="2443"/>
    </row>
    <row r="271" spans="1:11" ht="18" customHeight="1" x14ac:dyDescent="0.25">
      <c r="A271" s="2496" t="s">
        <v>2585</v>
      </c>
      <c r="B271" s="1384"/>
      <c r="C271" s="698">
        <v>9</v>
      </c>
      <c r="D271" s="457">
        <v>13090790</v>
      </c>
      <c r="E271" s="429"/>
      <c r="F271" s="495" t="s">
        <v>2026</v>
      </c>
      <c r="G271" s="1384"/>
      <c r="H271" s="698">
        <v>100.36</v>
      </c>
      <c r="I271" s="464">
        <v>76532397</v>
      </c>
      <c r="J271" s="429"/>
      <c r="K271" s="2443"/>
    </row>
    <row r="272" spans="1:11" ht="18" customHeight="1" x14ac:dyDescent="0.25">
      <c r="A272" s="497" t="s">
        <v>578</v>
      </c>
      <c r="B272" s="585" t="s">
        <v>40</v>
      </c>
      <c r="C272" s="698">
        <v>5.625</v>
      </c>
      <c r="D272" s="454">
        <v>13103906</v>
      </c>
      <c r="E272" s="429"/>
      <c r="F272" s="497" t="s">
        <v>578</v>
      </c>
      <c r="G272" s="585" t="s">
        <v>40</v>
      </c>
      <c r="H272" s="698">
        <v>23.65</v>
      </c>
      <c r="I272" s="454">
        <v>76981168</v>
      </c>
      <c r="J272" s="429"/>
      <c r="K272" s="2443"/>
    </row>
    <row r="273" spans="1:11" ht="18" customHeight="1" x14ac:dyDescent="0.25">
      <c r="A273" s="493" t="s">
        <v>2153</v>
      </c>
      <c r="B273" s="618"/>
      <c r="C273" s="697">
        <v>967</v>
      </c>
      <c r="D273" s="438">
        <v>13480395</v>
      </c>
      <c r="E273" s="429"/>
      <c r="F273" s="493" t="s">
        <v>1768</v>
      </c>
      <c r="G273" s="597"/>
      <c r="H273" s="697">
        <v>6</v>
      </c>
      <c r="I273" s="438">
        <v>78182771</v>
      </c>
      <c r="J273" s="429"/>
      <c r="K273" s="2443"/>
    </row>
    <row r="274" spans="1:11" ht="18" customHeight="1" x14ac:dyDescent="0.25">
      <c r="A274" s="1390" t="s">
        <v>1758</v>
      </c>
      <c r="B274" s="572"/>
      <c r="C274" s="698">
        <v>40.5</v>
      </c>
      <c r="D274" s="462">
        <v>14032210</v>
      </c>
      <c r="E274" s="429"/>
      <c r="F274" s="1390" t="s">
        <v>1711</v>
      </c>
      <c r="G274" s="335" t="s">
        <v>40</v>
      </c>
      <c r="H274" s="698">
        <v>16.5</v>
      </c>
      <c r="I274" s="462">
        <v>78604937</v>
      </c>
      <c r="J274" s="429"/>
      <c r="K274" s="2443"/>
    </row>
    <row r="275" spans="1:11" ht="18" customHeight="1" x14ac:dyDescent="0.25">
      <c r="A275" s="2083" t="s">
        <v>2219</v>
      </c>
      <c r="B275" s="1395"/>
      <c r="C275" s="697">
        <v>5111.88</v>
      </c>
      <c r="D275" s="442">
        <v>14225735</v>
      </c>
      <c r="E275" s="429"/>
      <c r="F275" s="1390" t="s">
        <v>2153</v>
      </c>
      <c r="G275" s="1395"/>
      <c r="H275" s="697">
        <v>3626.13</v>
      </c>
      <c r="I275" s="442">
        <v>78859738</v>
      </c>
      <c r="J275" s="429"/>
      <c r="K275" s="2443"/>
    </row>
    <row r="276" spans="1:11" ht="18" customHeight="1" x14ac:dyDescent="0.25">
      <c r="A276" s="3096" t="s">
        <v>2190</v>
      </c>
      <c r="B276" s="335" t="s">
        <v>40</v>
      </c>
      <c r="C276" s="697">
        <v>11.4</v>
      </c>
      <c r="D276" s="457">
        <v>14300463</v>
      </c>
      <c r="E276" s="429"/>
      <c r="F276" s="2453" t="s">
        <v>2050</v>
      </c>
      <c r="G276" s="335"/>
      <c r="H276" s="697">
        <v>2</v>
      </c>
      <c r="I276" s="1504">
        <v>80184732</v>
      </c>
      <c r="J276" s="429"/>
      <c r="K276" s="2443"/>
    </row>
    <row r="277" spans="1:11" ht="18" customHeight="1" x14ac:dyDescent="0.25">
      <c r="A277" s="1688" t="s">
        <v>921</v>
      </c>
      <c r="B277" s="580"/>
      <c r="C277" s="697">
        <v>7.8</v>
      </c>
      <c r="D277" s="1753">
        <v>14300463</v>
      </c>
      <c r="E277" s="429"/>
      <c r="F277" s="1761" t="s">
        <v>2219</v>
      </c>
      <c r="G277" s="570"/>
      <c r="H277" s="697">
        <v>11327.155000000001</v>
      </c>
      <c r="I277" s="1754">
        <v>80304194</v>
      </c>
      <c r="J277" s="429"/>
      <c r="K277" s="2443"/>
    </row>
    <row r="278" spans="1:11" ht="18" customHeight="1" x14ac:dyDescent="0.25">
      <c r="A278" s="2975" t="s">
        <v>2556</v>
      </c>
      <c r="B278" s="335"/>
      <c r="C278" s="698">
        <v>77.94</v>
      </c>
      <c r="D278" s="456">
        <v>14312178</v>
      </c>
      <c r="E278" s="429"/>
      <c r="F278" s="2975" t="s">
        <v>2626</v>
      </c>
      <c r="G278" s="573"/>
      <c r="H278" s="660">
        <v>24.33</v>
      </c>
      <c r="I278" s="441">
        <v>80640694</v>
      </c>
      <c r="J278" s="429"/>
      <c r="K278" s="2443"/>
    </row>
    <row r="279" spans="1:11" ht="18" customHeight="1" x14ac:dyDescent="0.25">
      <c r="A279" s="523" t="s">
        <v>1100</v>
      </c>
      <c r="B279" s="585" t="s">
        <v>40</v>
      </c>
      <c r="C279" s="698">
        <v>5</v>
      </c>
      <c r="D279" s="442">
        <v>14419069</v>
      </c>
      <c r="E279" s="429"/>
      <c r="F279" s="493" t="s">
        <v>1101</v>
      </c>
      <c r="G279" s="626"/>
      <c r="H279" s="698">
        <v>818.63</v>
      </c>
      <c r="I279" s="442">
        <v>80754762</v>
      </c>
      <c r="J279" s="429"/>
      <c r="K279" s="2443"/>
    </row>
    <row r="280" spans="1:11" ht="18" customHeight="1" x14ac:dyDescent="0.25">
      <c r="A280" s="493" t="s">
        <v>1767</v>
      </c>
      <c r="B280" s="573"/>
      <c r="C280" s="697">
        <v>3.37</v>
      </c>
      <c r="D280" s="442">
        <v>14419183</v>
      </c>
      <c r="E280" s="429"/>
      <c r="F280" s="1410" t="s">
        <v>2558</v>
      </c>
      <c r="G280" s="335"/>
      <c r="H280" s="697">
        <v>1128</v>
      </c>
      <c r="I280" s="442">
        <v>81076402</v>
      </c>
      <c r="J280" s="429"/>
      <c r="K280" s="2443"/>
    </row>
    <row r="281" spans="1:11" ht="18" customHeight="1" x14ac:dyDescent="0.25">
      <c r="A281" s="2448" t="s">
        <v>2050</v>
      </c>
      <c r="B281" s="571"/>
      <c r="C281" s="697">
        <v>2</v>
      </c>
      <c r="D281" s="463">
        <v>14604690</v>
      </c>
      <c r="E281" s="429"/>
      <c r="F281" s="493" t="s">
        <v>1759</v>
      </c>
      <c r="G281" s="597"/>
      <c r="H281" s="697">
        <v>177</v>
      </c>
      <c r="I281" s="455">
        <v>81981179</v>
      </c>
      <c r="J281" s="429"/>
      <c r="K281" s="2443"/>
    </row>
    <row r="282" spans="1:11" ht="18" customHeight="1" x14ac:dyDescent="0.25">
      <c r="A282" s="493" t="s">
        <v>1756</v>
      </c>
      <c r="B282" s="1384" t="s">
        <v>40</v>
      </c>
      <c r="C282" s="697">
        <v>51.8</v>
      </c>
      <c r="D282" s="457">
        <v>14674519</v>
      </c>
      <c r="E282" s="429"/>
      <c r="F282" s="1688" t="s">
        <v>2346</v>
      </c>
      <c r="G282" s="1384" t="s">
        <v>40</v>
      </c>
      <c r="H282" s="658">
        <v>1343.47</v>
      </c>
      <c r="I282" s="457">
        <v>86119978</v>
      </c>
      <c r="J282" s="429"/>
      <c r="K282" s="2443"/>
    </row>
    <row r="283" spans="1:11" ht="18" customHeight="1" x14ac:dyDescent="0.25">
      <c r="A283" s="493" t="s">
        <v>575</v>
      </c>
      <c r="B283" s="1395"/>
      <c r="C283" s="697">
        <v>27</v>
      </c>
      <c r="D283" s="457">
        <v>14738010</v>
      </c>
      <c r="E283" s="429"/>
      <c r="F283" s="493" t="s">
        <v>1594</v>
      </c>
      <c r="G283" s="1364" t="s">
        <v>40</v>
      </c>
      <c r="H283" s="658">
        <v>25.53</v>
      </c>
      <c r="I283" s="457">
        <v>87368760</v>
      </c>
      <c r="J283" s="429"/>
      <c r="K283" s="2443"/>
    </row>
    <row r="284" spans="1:11" ht="18" customHeight="1" x14ac:dyDescent="0.25">
      <c r="A284" s="2988" t="s">
        <v>2217</v>
      </c>
      <c r="B284" s="1364"/>
      <c r="C284" s="697">
        <v>34.6</v>
      </c>
      <c r="D284" s="457">
        <v>14739371</v>
      </c>
      <c r="E284" s="429"/>
      <c r="F284" s="2498" t="s">
        <v>2585</v>
      </c>
      <c r="G284" s="1364"/>
      <c r="H284" s="697">
        <v>73</v>
      </c>
      <c r="I284" s="457">
        <v>87658485</v>
      </c>
      <c r="J284" s="429"/>
      <c r="K284" s="2443"/>
    </row>
    <row r="285" spans="1:11" ht="18" customHeight="1" x14ac:dyDescent="0.25">
      <c r="A285" s="500" t="s">
        <v>2346</v>
      </c>
      <c r="B285" s="335" t="s">
        <v>40</v>
      </c>
      <c r="C285" s="658">
        <v>256.67</v>
      </c>
      <c r="D285" s="442">
        <v>14996364</v>
      </c>
      <c r="E285" s="429"/>
      <c r="F285" s="493" t="s">
        <v>1756</v>
      </c>
      <c r="G285" s="335" t="s">
        <v>40</v>
      </c>
      <c r="H285" s="697">
        <v>92.55</v>
      </c>
      <c r="I285" s="442">
        <v>88215424</v>
      </c>
      <c r="J285" s="429"/>
      <c r="K285" s="2443"/>
    </row>
    <row r="286" spans="1:11" ht="18" customHeight="1" x14ac:dyDescent="0.25">
      <c r="A286" s="2981" t="s">
        <v>2152</v>
      </c>
      <c r="B286" s="335" t="s">
        <v>40</v>
      </c>
      <c r="C286" s="697">
        <v>15</v>
      </c>
      <c r="D286" s="462">
        <v>15225287</v>
      </c>
      <c r="E286" s="429"/>
      <c r="F286" s="2989" t="s">
        <v>2217</v>
      </c>
      <c r="G286" s="335"/>
      <c r="H286" s="697">
        <v>238.49</v>
      </c>
      <c r="I286" s="442">
        <v>88345306</v>
      </c>
      <c r="J286" s="429"/>
      <c r="K286" s="2443"/>
    </row>
    <row r="287" spans="1:11" ht="18" customHeight="1" x14ac:dyDescent="0.25">
      <c r="A287" s="1644" t="s">
        <v>1102</v>
      </c>
      <c r="B287" s="335" t="s">
        <v>40</v>
      </c>
      <c r="C287" s="697">
        <v>18</v>
      </c>
      <c r="D287" s="464">
        <v>15256611</v>
      </c>
      <c r="E287" s="429"/>
      <c r="F287" s="2981" t="s">
        <v>2152</v>
      </c>
      <c r="G287" s="335" t="s">
        <v>40</v>
      </c>
      <c r="H287" s="697">
        <v>34</v>
      </c>
      <c r="I287" s="464">
        <v>89273840</v>
      </c>
      <c r="J287" s="429"/>
      <c r="K287" s="2443"/>
    </row>
    <row r="288" spans="1:11" ht="18" customHeight="1" x14ac:dyDescent="0.25">
      <c r="A288" s="1455" t="s">
        <v>1711</v>
      </c>
      <c r="B288" s="579" t="s">
        <v>40</v>
      </c>
      <c r="C288" s="697">
        <v>8.7769999999999992</v>
      </c>
      <c r="D288" s="462">
        <v>15277534</v>
      </c>
      <c r="E288" s="429"/>
      <c r="F288" s="2479" t="s">
        <v>1102</v>
      </c>
      <c r="G288" s="579" t="s">
        <v>40</v>
      </c>
      <c r="H288" s="697">
        <v>44</v>
      </c>
      <c r="I288" s="462">
        <v>89292062</v>
      </c>
      <c r="J288" s="429"/>
      <c r="K288" s="2443"/>
    </row>
    <row r="289" spans="1:11" ht="18" customHeight="1" x14ac:dyDescent="0.25">
      <c r="A289" s="2493" t="s">
        <v>2134</v>
      </c>
      <c r="B289" s="335"/>
      <c r="C289" s="658">
        <v>53.4</v>
      </c>
      <c r="D289" s="442">
        <v>15458191</v>
      </c>
      <c r="E289" s="429"/>
      <c r="F289" s="497" t="s">
        <v>1767</v>
      </c>
      <c r="G289" s="573"/>
      <c r="H289" s="697">
        <v>29.07</v>
      </c>
      <c r="I289" s="442">
        <v>89756782</v>
      </c>
      <c r="J289" s="429"/>
      <c r="K289" s="2443"/>
    </row>
    <row r="290" spans="1:11" ht="18" customHeight="1" x14ac:dyDescent="0.25">
      <c r="A290" s="2313" t="s">
        <v>2636</v>
      </c>
      <c r="B290" s="335" t="s">
        <v>40</v>
      </c>
      <c r="C290" s="697">
        <v>20.8</v>
      </c>
      <c r="D290" s="455">
        <v>16141002</v>
      </c>
      <c r="E290" s="429"/>
      <c r="F290" s="2313" t="s">
        <v>2190</v>
      </c>
      <c r="G290" s="335" t="s">
        <v>40</v>
      </c>
      <c r="H290" s="697">
        <v>21</v>
      </c>
      <c r="I290" s="455">
        <v>92531511</v>
      </c>
      <c r="J290" s="429"/>
      <c r="K290" s="2443"/>
    </row>
    <row r="291" spans="1:11" ht="18" customHeight="1" x14ac:dyDescent="0.25">
      <c r="A291" s="2313" t="s">
        <v>2626</v>
      </c>
      <c r="B291" s="576"/>
      <c r="C291" s="659">
        <v>4.49</v>
      </c>
      <c r="D291" s="462">
        <v>16237581</v>
      </c>
      <c r="E291" s="429"/>
      <c r="F291" s="497" t="s">
        <v>921</v>
      </c>
      <c r="G291" s="627"/>
      <c r="H291" s="697">
        <v>28.7</v>
      </c>
      <c r="I291" s="462">
        <v>92531511</v>
      </c>
      <c r="J291" s="429"/>
      <c r="K291" s="2443"/>
    </row>
    <row r="292" spans="1:11" ht="18" customHeight="1" x14ac:dyDescent="0.25">
      <c r="A292" s="497" t="s">
        <v>1768</v>
      </c>
      <c r="B292" s="574"/>
      <c r="C292" s="697">
        <v>2</v>
      </c>
      <c r="D292" s="455">
        <v>16350216</v>
      </c>
      <c r="E292" s="429"/>
      <c r="F292" s="2313" t="s">
        <v>1100</v>
      </c>
      <c r="G292" s="590" t="s">
        <v>40</v>
      </c>
      <c r="H292" s="697">
        <v>34.299999999999997</v>
      </c>
      <c r="I292" s="455">
        <v>92532290</v>
      </c>
      <c r="J292" s="429"/>
      <c r="K292" s="2443"/>
    </row>
    <row r="293" spans="1:11" ht="18" customHeight="1" x14ac:dyDescent="0.25">
      <c r="A293" s="493" t="s">
        <v>1759</v>
      </c>
      <c r="B293" s="600"/>
      <c r="C293" s="697">
        <v>19</v>
      </c>
      <c r="D293" s="239">
        <v>17104824</v>
      </c>
      <c r="E293" s="429"/>
      <c r="F293" s="2978" t="s">
        <v>2134</v>
      </c>
      <c r="G293" s="644"/>
      <c r="H293" s="658">
        <v>82.25</v>
      </c>
      <c r="I293" s="239">
        <v>92990623</v>
      </c>
      <c r="J293" s="429"/>
      <c r="K293" s="2443"/>
    </row>
    <row r="294" spans="1:11" ht="18" customHeight="1" x14ac:dyDescent="0.25">
      <c r="A294" s="493" t="s">
        <v>1959</v>
      </c>
      <c r="B294" s="576"/>
      <c r="C294" s="697">
        <v>1.9890000000000001</v>
      </c>
      <c r="D294" s="442">
        <v>18196297</v>
      </c>
      <c r="E294" s="429"/>
      <c r="F294" s="523" t="s">
        <v>2636</v>
      </c>
      <c r="G294" s="601" t="s">
        <v>40</v>
      </c>
      <c r="H294" s="697">
        <v>46.2</v>
      </c>
      <c r="I294" s="442">
        <v>96998963</v>
      </c>
      <c r="J294" s="429"/>
      <c r="K294" s="2443"/>
    </row>
    <row r="295" spans="1:11" ht="18" customHeight="1" x14ac:dyDescent="0.25">
      <c r="A295" s="554" t="s">
        <v>503</v>
      </c>
      <c r="B295" s="2069"/>
      <c r="C295" s="697"/>
      <c r="D295" s="442">
        <v>26146816</v>
      </c>
      <c r="E295" s="429"/>
      <c r="F295" s="510" t="s">
        <v>1959</v>
      </c>
      <c r="G295" s="593"/>
      <c r="H295" s="697">
        <v>5.77</v>
      </c>
      <c r="I295" s="442">
        <v>99510060</v>
      </c>
      <c r="J295" s="429"/>
      <c r="K295" s="2443"/>
    </row>
    <row r="296" spans="1:11" ht="18" customHeight="1" x14ac:dyDescent="0.25">
      <c r="A296" s="2441" t="s">
        <v>2145</v>
      </c>
      <c r="B296" s="335"/>
      <c r="C296" s="697">
        <v>444.1</v>
      </c>
      <c r="D296" s="484">
        <v>46470555</v>
      </c>
      <c r="E296" s="429"/>
      <c r="F296" s="498" t="s">
        <v>503</v>
      </c>
      <c r="G296" s="580"/>
      <c r="H296" s="697"/>
      <c r="I296" s="442">
        <v>110379008</v>
      </c>
      <c r="J296" s="429"/>
      <c r="K296" s="2443"/>
    </row>
    <row r="297" spans="1:11" ht="18" customHeight="1" x14ac:dyDescent="0.25">
      <c r="A297" s="2454" t="s">
        <v>1115</v>
      </c>
      <c r="B297" s="335"/>
      <c r="C297" s="1642">
        <v>45</v>
      </c>
      <c r="D297" s="1504">
        <v>58505719</v>
      </c>
      <c r="E297" s="429"/>
      <c r="F297" s="2457" t="s">
        <v>2145</v>
      </c>
      <c r="G297" s="335"/>
      <c r="H297" s="1642"/>
      <c r="I297" s="1504"/>
      <c r="J297" s="429"/>
      <c r="K297" s="2443"/>
    </row>
    <row r="298" spans="1:11" ht="18" customHeight="1" x14ac:dyDescent="0.25">
      <c r="A298" s="2462" t="s">
        <v>1117</v>
      </c>
      <c r="B298" s="579"/>
      <c r="C298" s="718">
        <v>23</v>
      </c>
      <c r="D298" s="460">
        <v>79367091</v>
      </c>
      <c r="E298" s="429"/>
      <c r="F298" s="2458" t="s">
        <v>1115</v>
      </c>
      <c r="G298" s="579"/>
      <c r="H298" s="718"/>
      <c r="I298" s="460"/>
      <c r="J298" s="429"/>
      <c r="K298" s="2443"/>
    </row>
    <row r="299" spans="1:11" ht="18" customHeight="1" x14ac:dyDescent="0.25">
      <c r="A299" s="2441" t="s">
        <v>1114</v>
      </c>
      <c r="B299" s="594"/>
      <c r="C299" s="697">
        <v>8</v>
      </c>
      <c r="D299" s="484">
        <v>89246640</v>
      </c>
      <c r="E299" s="429"/>
      <c r="F299" s="2441" t="s">
        <v>1117</v>
      </c>
      <c r="G299" s="594"/>
      <c r="H299" s="697"/>
      <c r="I299" s="484"/>
      <c r="J299" s="429"/>
      <c r="K299" s="2443"/>
    </row>
    <row r="300" spans="1:11" ht="18" customHeight="1" x14ac:dyDescent="0.25">
      <c r="A300" s="2065" t="s">
        <v>2344</v>
      </c>
      <c r="B300" s="1462"/>
      <c r="C300" s="1463"/>
      <c r="D300" s="1464" t="s">
        <v>482</v>
      </c>
      <c r="E300" s="429"/>
      <c r="F300" s="2461" t="s">
        <v>1114</v>
      </c>
      <c r="G300" s="1462"/>
      <c r="H300" s="1463"/>
      <c r="I300" s="1464"/>
      <c r="J300" s="429"/>
      <c r="K300" s="2443"/>
    </row>
    <row r="301" spans="1:11" ht="18" customHeight="1" x14ac:dyDescent="0.25">
      <c r="A301" s="142"/>
      <c r="B301" s="562"/>
      <c r="C301" s="677"/>
      <c r="D301" s="177"/>
      <c r="E301" s="429"/>
      <c r="F301" s="2431"/>
      <c r="G301" s="575"/>
      <c r="H301" s="719"/>
      <c r="I301" s="229"/>
      <c r="J301" s="429"/>
      <c r="K301" s="2443"/>
    </row>
    <row r="302" spans="1:11" ht="18" customHeight="1" x14ac:dyDescent="0.25">
      <c r="A302" s="142"/>
      <c r="B302" s="562"/>
      <c r="C302" s="677"/>
      <c r="D302" s="177"/>
      <c r="E302" s="429"/>
      <c r="F302" s="2431"/>
      <c r="G302" s="575"/>
      <c r="H302" s="719"/>
      <c r="I302" s="229"/>
      <c r="J302" s="429"/>
      <c r="K302" s="2443"/>
    </row>
    <row r="303" spans="1:11" ht="18" customHeight="1" x14ac:dyDescent="0.25">
      <c r="A303" s="525"/>
      <c r="B303" s="575"/>
      <c r="C303" s="677"/>
      <c r="D303" s="177"/>
      <c r="E303" s="429"/>
      <c r="F303" s="2463"/>
      <c r="G303" s="575"/>
      <c r="H303" s="719"/>
      <c r="I303" s="229"/>
      <c r="J303" s="429"/>
      <c r="K303" s="2443"/>
    </row>
    <row r="304" spans="1:11" ht="24" customHeight="1" x14ac:dyDescent="0.25">
      <c r="A304" s="1624" t="s">
        <v>2331</v>
      </c>
      <c r="B304" s="581"/>
      <c r="C304" s="2430" t="s">
        <v>480</v>
      </c>
      <c r="D304" s="435" t="s">
        <v>1118</v>
      </c>
      <c r="E304" s="429"/>
      <c r="F304" s="2437" t="s">
        <v>2332</v>
      </c>
      <c r="G304" s="581"/>
      <c r="H304" s="2430" t="s">
        <v>480</v>
      </c>
      <c r="I304" s="435" t="s">
        <v>1119</v>
      </c>
      <c r="J304" s="429"/>
      <c r="K304" s="2443"/>
    </row>
    <row r="305" spans="1:11" ht="18" customHeight="1" x14ac:dyDescent="0.25">
      <c r="A305" s="4722" t="s">
        <v>2631</v>
      </c>
      <c r="B305" s="596"/>
      <c r="C305" s="717">
        <v>508.1</v>
      </c>
      <c r="D305" s="482">
        <v>23248600</v>
      </c>
      <c r="E305" s="429"/>
      <c r="F305" s="2974" t="s">
        <v>2621</v>
      </c>
      <c r="G305" s="596"/>
      <c r="H305" s="717">
        <v>14126.5</v>
      </c>
      <c r="I305" s="482">
        <v>31006333</v>
      </c>
      <c r="J305" s="423"/>
      <c r="K305" s="2443"/>
    </row>
    <row r="306" spans="1:11" ht="18" customHeight="1" x14ac:dyDescent="0.25">
      <c r="A306" s="523" t="s">
        <v>2621</v>
      </c>
      <c r="B306" s="583"/>
      <c r="C306" s="697">
        <v>1112.5</v>
      </c>
      <c r="D306" s="455">
        <v>23693814</v>
      </c>
      <c r="E306" s="429"/>
      <c r="F306" s="523" t="s">
        <v>2469</v>
      </c>
      <c r="G306" s="1687" t="s">
        <v>40</v>
      </c>
      <c r="H306" s="697">
        <v>8174.07</v>
      </c>
      <c r="I306" s="455">
        <v>31324616</v>
      </c>
      <c r="J306" s="423"/>
      <c r="K306" s="2443"/>
    </row>
    <row r="307" spans="1:11" ht="18" customHeight="1" x14ac:dyDescent="0.25">
      <c r="A307" s="3087" t="s">
        <v>2344</v>
      </c>
      <c r="B307" s="2043"/>
      <c r="C307" s="697">
        <v>3</v>
      </c>
      <c r="D307" s="2078">
        <v>24505187</v>
      </c>
      <c r="E307" s="429"/>
      <c r="F307" s="4749" t="s">
        <v>2792</v>
      </c>
      <c r="G307" s="2850" t="s">
        <v>40</v>
      </c>
      <c r="H307" s="658">
        <v>6165.5</v>
      </c>
      <c r="I307" s="2078">
        <v>31339049</v>
      </c>
      <c r="J307" s="423"/>
      <c r="K307" s="2443"/>
    </row>
    <row r="308" spans="1:11" ht="18" customHeight="1" x14ac:dyDescent="0.25">
      <c r="A308" s="3293" t="s">
        <v>2469</v>
      </c>
      <c r="B308" s="4727" t="s">
        <v>40</v>
      </c>
      <c r="C308" s="3189">
        <v>7965.24</v>
      </c>
      <c r="D308" s="3192">
        <v>24715749</v>
      </c>
      <c r="E308" s="429"/>
      <c r="F308" s="3286" t="s">
        <v>2478</v>
      </c>
      <c r="G308" s="4727" t="s">
        <v>40</v>
      </c>
      <c r="H308" s="3189">
        <v>5299.41</v>
      </c>
      <c r="I308" s="3192">
        <v>31408822</v>
      </c>
      <c r="J308" s="423"/>
      <c r="K308" s="2443"/>
    </row>
    <row r="309" spans="1:11" ht="18" customHeight="1" x14ac:dyDescent="0.25">
      <c r="A309" s="3032" t="s">
        <v>2482</v>
      </c>
      <c r="B309" s="1835" t="s">
        <v>40</v>
      </c>
      <c r="C309" s="698">
        <v>7184.6</v>
      </c>
      <c r="D309" s="3018">
        <v>24764441</v>
      </c>
      <c r="E309" s="429"/>
      <c r="F309" s="3038" t="s">
        <v>2629</v>
      </c>
      <c r="G309" s="1835"/>
      <c r="H309" s="698">
        <v>1107.0999999999999</v>
      </c>
      <c r="I309" s="3018">
        <v>31755455</v>
      </c>
      <c r="J309" s="423"/>
      <c r="K309" s="2443"/>
    </row>
    <row r="310" spans="1:11" ht="18" customHeight="1" x14ac:dyDescent="0.25">
      <c r="A310" s="1688" t="s">
        <v>2483</v>
      </c>
      <c r="B310" s="3015" t="s">
        <v>40</v>
      </c>
      <c r="C310" s="698">
        <v>5454.3</v>
      </c>
      <c r="D310" s="3089">
        <v>24766813</v>
      </c>
      <c r="E310" s="429"/>
      <c r="F310" s="3290" t="s">
        <v>2630</v>
      </c>
      <c r="G310" s="3188"/>
      <c r="H310" s="698">
        <v>1134</v>
      </c>
      <c r="I310" s="3018">
        <v>31760033</v>
      </c>
      <c r="J310" s="423"/>
      <c r="K310" s="2443"/>
    </row>
    <row r="311" spans="1:11" ht="18" customHeight="1" x14ac:dyDescent="0.25">
      <c r="A311" s="4748" t="s">
        <v>2792</v>
      </c>
      <c r="B311" s="3097" t="s">
        <v>40</v>
      </c>
      <c r="C311" s="657">
        <v>6155.8</v>
      </c>
      <c r="D311" s="3018">
        <v>24804922</v>
      </c>
      <c r="E311" s="429"/>
      <c r="F311" s="1688" t="s">
        <v>2479</v>
      </c>
      <c r="G311" s="3015" t="s">
        <v>40</v>
      </c>
      <c r="H311" s="698">
        <v>4819.8999999999996</v>
      </c>
      <c r="I311" s="3089">
        <v>32054546</v>
      </c>
      <c r="J311" s="423"/>
      <c r="K311" s="2443"/>
    </row>
    <row r="312" spans="1:11" ht="18" customHeight="1" x14ac:dyDescent="0.25">
      <c r="A312" s="3286" t="s">
        <v>2478</v>
      </c>
      <c r="B312" s="4727" t="s">
        <v>40</v>
      </c>
      <c r="C312" s="697">
        <v>5334.31</v>
      </c>
      <c r="D312" s="2078">
        <v>24818817</v>
      </c>
      <c r="E312" s="429"/>
      <c r="F312" s="1375" t="s">
        <v>2482</v>
      </c>
      <c r="G312" s="1835" t="s">
        <v>40</v>
      </c>
      <c r="H312" s="697">
        <v>5019.2</v>
      </c>
      <c r="I312" s="2078">
        <v>32404496</v>
      </c>
      <c r="J312" s="423"/>
      <c r="K312" s="2443"/>
    </row>
    <row r="313" spans="1:11" ht="18" customHeight="1" x14ac:dyDescent="0.25">
      <c r="A313" s="2966" t="s">
        <v>2629</v>
      </c>
      <c r="B313" s="2396"/>
      <c r="C313" s="697">
        <v>1498.7</v>
      </c>
      <c r="D313" s="2078">
        <v>24906180</v>
      </c>
      <c r="E313" s="429"/>
      <c r="F313" s="2966" t="s">
        <v>2623</v>
      </c>
      <c r="G313" s="2396"/>
      <c r="H313" s="697">
        <v>583.79999999999995</v>
      </c>
      <c r="I313" s="2852">
        <v>32547632</v>
      </c>
      <c r="J313" s="423"/>
      <c r="K313" s="2443"/>
    </row>
    <row r="314" spans="1:11" ht="18" customHeight="1" x14ac:dyDescent="0.25">
      <c r="A314" s="2409" t="s">
        <v>2479</v>
      </c>
      <c r="B314" s="2396" t="s">
        <v>40</v>
      </c>
      <c r="C314" s="697">
        <v>5207.3</v>
      </c>
      <c r="D314" s="2852">
        <v>24918035</v>
      </c>
      <c r="E314" s="429"/>
      <c r="F314" s="2920" t="s">
        <v>2050</v>
      </c>
      <c r="G314" s="2396"/>
      <c r="H314" s="697">
        <v>2</v>
      </c>
      <c r="I314" s="2074">
        <v>32613892</v>
      </c>
      <c r="J314" s="423"/>
      <c r="K314" s="2443"/>
    </row>
    <row r="315" spans="1:11" ht="18" customHeight="1" x14ac:dyDescent="0.25">
      <c r="A315" s="1410" t="s">
        <v>2630</v>
      </c>
      <c r="B315" s="335"/>
      <c r="C315" s="697">
        <v>1525.6</v>
      </c>
      <c r="D315" s="492">
        <v>25232478</v>
      </c>
      <c r="E315" s="429"/>
      <c r="F315" s="493" t="s">
        <v>2483</v>
      </c>
      <c r="G315" s="335" t="s">
        <v>40</v>
      </c>
      <c r="H315" s="697">
        <v>5824.19</v>
      </c>
      <c r="I315" s="1476">
        <v>32953076</v>
      </c>
      <c r="J315" s="423"/>
      <c r="K315" s="2443"/>
    </row>
    <row r="316" spans="1:11" ht="18" customHeight="1" x14ac:dyDescent="0.25">
      <c r="A316" s="2964" t="s">
        <v>2623</v>
      </c>
      <c r="B316" s="585"/>
      <c r="C316" s="698">
        <v>857.8</v>
      </c>
      <c r="D316" s="483">
        <v>25353733</v>
      </c>
      <c r="E316" s="429"/>
      <c r="F316" s="1465" t="s">
        <v>1790</v>
      </c>
      <c r="G316" s="1519"/>
      <c r="H316" s="698">
        <v>20.98</v>
      </c>
      <c r="I316" s="483">
        <v>33972352</v>
      </c>
      <c r="J316" s="423"/>
      <c r="K316" s="2443"/>
    </row>
    <row r="317" spans="1:11" ht="18" customHeight="1" x14ac:dyDescent="0.25">
      <c r="A317" s="4632" t="s">
        <v>2487</v>
      </c>
      <c r="B317" s="1803"/>
      <c r="C317" s="697">
        <v>5.87</v>
      </c>
      <c r="D317" s="1793">
        <v>25371669</v>
      </c>
      <c r="E317" s="429"/>
      <c r="F317" s="4652" t="s">
        <v>2495</v>
      </c>
      <c r="G317" s="1803" t="s">
        <v>40</v>
      </c>
      <c r="H317" s="697">
        <v>572.91999999999996</v>
      </c>
      <c r="I317" s="1792">
        <v>34812534</v>
      </c>
      <c r="J317" s="423"/>
      <c r="K317" s="2443"/>
    </row>
    <row r="318" spans="1:11" ht="18" customHeight="1" x14ac:dyDescent="0.25">
      <c r="A318" s="4644" t="s">
        <v>2495</v>
      </c>
      <c r="B318" s="2043" t="s">
        <v>40</v>
      </c>
      <c r="C318" s="697">
        <v>644.08000000000004</v>
      </c>
      <c r="D318" s="1792">
        <v>25398748</v>
      </c>
      <c r="E318" s="429"/>
      <c r="F318" s="2481" t="s">
        <v>2002</v>
      </c>
      <c r="G318" s="2043" t="s">
        <v>40</v>
      </c>
      <c r="H318" s="697">
        <v>722.49</v>
      </c>
      <c r="I318" s="1793">
        <v>34832443</v>
      </c>
      <c r="J318" s="423"/>
      <c r="K318" s="2443"/>
    </row>
    <row r="319" spans="1:11" ht="18" customHeight="1" x14ac:dyDescent="0.25">
      <c r="A319" s="1390" t="s">
        <v>2002</v>
      </c>
      <c r="B319" s="1803" t="s">
        <v>40</v>
      </c>
      <c r="C319" s="697">
        <v>784.6</v>
      </c>
      <c r="D319" s="1793">
        <v>25399717</v>
      </c>
      <c r="E319" s="429"/>
      <c r="F319" s="1390" t="s">
        <v>748</v>
      </c>
      <c r="G319" s="1803" t="s">
        <v>40</v>
      </c>
      <c r="H319" s="697">
        <v>750</v>
      </c>
      <c r="I319" s="1793">
        <v>34885322</v>
      </c>
      <c r="J319" s="423"/>
      <c r="K319" s="2443"/>
    </row>
    <row r="320" spans="1:11" ht="18" customHeight="1" x14ac:dyDescent="0.25">
      <c r="A320" s="1773" t="s">
        <v>748</v>
      </c>
      <c r="B320" s="1803" t="s">
        <v>40</v>
      </c>
      <c r="C320" s="697">
        <v>902.05</v>
      </c>
      <c r="D320" s="1793">
        <v>25409105</v>
      </c>
      <c r="E320" s="429"/>
      <c r="F320" s="3294" t="s">
        <v>1826</v>
      </c>
      <c r="G320" s="1803" t="s">
        <v>40</v>
      </c>
      <c r="H320" s="697">
        <v>118.87</v>
      </c>
      <c r="I320" s="1793">
        <v>35567755</v>
      </c>
      <c r="J320" s="423"/>
      <c r="K320" s="2443"/>
    </row>
    <row r="321" spans="1:11" ht="18" customHeight="1" x14ac:dyDescent="0.25">
      <c r="A321" s="1804" t="s">
        <v>1833</v>
      </c>
      <c r="B321" s="1790" t="s">
        <v>40</v>
      </c>
      <c r="C321" s="697">
        <v>91.2</v>
      </c>
      <c r="D321" s="1792">
        <v>25810344</v>
      </c>
      <c r="E321" s="429"/>
      <c r="F321" s="2193" t="s">
        <v>1792</v>
      </c>
      <c r="G321" s="2224"/>
      <c r="H321" s="697">
        <v>135.19</v>
      </c>
      <c r="I321" s="1793">
        <v>35839420</v>
      </c>
      <c r="J321" s="423"/>
      <c r="K321" s="2443"/>
    </row>
    <row r="322" spans="1:11" ht="18" customHeight="1" x14ac:dyDescent="0.25">
      <c r="A322" s="3296" t="s">
        <v>1826</v>
      </c>
      <c r="B322" s="1803" t="s">
        <v>40</v>
      </c>
      <c r="C322" s="1463">
        <v>91.2</v>
      </c>
      <c r="D322" s="1793">
        <v>25882806</v>
      </c>
      <c r="E322" s="429"/>
      <c r="F322" s="2193" t="s">
        <v>2631</v>
      </c>
      <c r="G322" s="1803"/>
      <c r="H322" s="1463">
        <v>823</v>
      </c>
      <c r="I322" s="1792">
        <v>36136082</v>
      </c>
      <c r="J322" s="423"/>
      <c r="K322" s="2443"/>
    </row>
    <row r="323" spans="1:11" ht="18" customHeight="1" x14ac:dyDescent="0.25">
      <c r="A323" s="2957" t="s">
        <v>2632</v>
      </c>
      <c r="B323" s="2043"/>
      <c r="C323" s="1463">
        <v>1007.1</v>
      </c>
      <c r="D323" s="1792">
        <v>25909444</v>
      </c>
      <c r="E323" s="429"/>
      <c r="F323" s="2957" t="s">
        <v>2632</v>
      </c>
      <c r="G323" s="2043"/>
      <c r="H323" s="1463">
        <v>865.6</v>
      </c>
      <c r="I323" s="1792">
        <v>36142785</v>
      </c>
      <c r="J323" s="423"/>
      <c r="K323" s="2443"/>
    </row>
    <row r="324" spans="1:11" ht="18" customHeight="1" x14ac:dyDescent="0.25">
      <c r="A324" s="1410" t="s">
        <v>2637</v>
      </c>
      <c r="B324" s="2043"/>
      <c r="C324" s="1463">
        <v>953.5</v>
      </c>
      <c r="D324" s="1792">
        <v>25909444</v>
      </c>
      <c r="E324" s="429"/>
      <c r="F324" s="2323" t="s">
        <v>2637</v>
      </c>
      <c r="G324" s="2043"/>
      <c r="H324" s="1463">
        <v>738.3</v>
      </c>
      <c r="I324" s="1792">
        <v>36142785</v>
      </c>
      <c r="J324" s="423"/>
      <c r="K324" s="2443"/>
    </row>
    <row r="325" spans="1:11" ht="18" customHeight="1" x14ac:dyDescent="0.25">
      <c r="A325" s="2961" t="s">
        <v>2633</v>
      </c>
      <c r="B325" s="1752"/>
      <c r="C325" s="697">
        <v>1034.3</v>
      </c>
      <c r="D325" s="1754">
        <v>25909444</v>
      </c>
      <c r="E325" s="429"/>
      <c r="F325" s="1410" t="s">
        <v>2633</v>
      </c>
      <c r="G325" s="1752"/>
      <c r="H325" s="697">
        <v>984.8</v>
      </c>
      <c r="I325" s="1754">
        <v>36142785</v>
      </c>
      <c r="J325" s="423"/>
      <c r="K325" s="2443"/>
    </row>
    <row r="326" spans="1:11" ht="18" customHeight="1" x14ac:dyDescent="0.25">
      <c r="A326" s="1488" t="s">
        <v>2634</v>
      </c>
      <c r="B326" s="1790"/>
      <c r="C326" s="657">
        <v>827.6</v>
      </c>
      <c r="D326" s="1792">
        <v>25909488</v>
      </c>
      <c r="E326" s="429"/>
      <c r="F326" s="1488" t="s">
        <v>2634</v>
      </c>
      <c r="G326" s="1790"/>
      <c r="H326" s="698">
        <v>885.2</v>
      </c>
      <c r="I326" s="1793">
        <v>36142823</v>
      </c>
      <c r="J326" s="423"/>
      <c r="K326" s="2443"/>
    </row>
    <row r="327" spans="1:11" ht="18" customHeight="1" x14ac:dyDescent="0.25">
      <c r="A327" s="1488" t="s">
        <v>578</v>
      </c>
      <c r="B327" s="1384" t="s">
        <v>40</v>
      </c>
      <c r="C327" s="697">
        <v>8.9</v>
      </c>
      <c r="D327" s="1684">
        <v>26247346</v>
      </c>
      <c r="E327" s="429"/>
      <c r="F327" s="1488" t="s">
        <v>2026</v>
      </c>
      <c r="G327" s="1384"/>
      <c r="H327" s="697">
        <v>56.2</v>
      </c>
      <c r="I327" s="1684">
        <v>36403925</v>
      </c>
      <c r="J327" s="423"/>
      <c r="K327" s="2443"/>
    </row>
    <row r="328" spans="1:11" ht="18" customHeight="1" x14ac:dyDescent="0.25">
      <c r="A328" s="523" t="s">
        <v>2556</v>
      </c>
      <c r="B328" s="585"/>
      <c r="C328" s="698">
        <v>97.26</v>
      </c>
      <c r="D328" s="454">
        <v>26757360</v>
      </c>
      <c r="E328" s="429"/>
      <c r="F328" s="493" t="s">
        <v>1833</v>
      </c>
      <c r="G328" s="585" t="s">
        <v>40</v>
      </c>
      <c r="H328" s="698">
        <v>130.66</v>
      </c>
      <c r="I328" s="454">
        <v>36420160</v>
      </c>
      <c r="J328" s="423"/>
      <c r="K328" s="2443"/>
    </row>
    <row r="329" spans="1:11" ht="18" customHeight="1" x14ac:dyDescent="0.25">
      <c r="A329" s="1688" t="s">
        <v>1101</v>
      </c>
      <c r="B329" s="573"/>
      <c r="C329" s="697">
        <v>451.6</v>
      </c>
      <c r="D329" s="1753">
        <v>27208550</v>
      </c>
      <c r="E329" s="429"/>
      <c r="F329" s="1692" t="s">
        <v>1793</v>
      </c>
      <c r="G329" s="566"/>
      <c r="H329" s="697">
        <v>36.299999999999997</v>
      </c>
      <c r="I329" s="1754">
        <v>37478209</v>
      </c>
      <c r="J329" s="423"/>
      <c r="K329" s="2443"/>
    </row>
    <row r="330" spans="1:11" ht="18" customHeight="1" x14ac:dyDescent="0.25">
      <c r="A330" s="1688" t="s">
        <v>1758</v>
      </c>
      <c r="B330" s="572"/>
      <c r="C330" s="698">
        <v>85.7</v>
      </c>
      <c r="D330" s="464">
        <v>27437618</v>
      </c>
      <c r="E330" s="429"/>
      <c r="F330" s="1688" t="s">
        <v>1101</v>
      </c>
      <c r="G330" s="573"/>
      <c r="H330" s="698">
        <v>581.79999999999995</v>
      </c>
      <c r="I330" s="464">
        <v>38401626</v>
      </c>
      <c r="J330" s="423"/>
      <c r="K330" s="2443"/>
    </row>
    <row r="331" spans="1:11" ht="18" customHeight="1" x14ac:dyDescent="0.25">
      <c r="A331" s="1688" t="s">
        <v>1711</v>
      </c>
      <c r="B331" s="335" t="s">
        <v>40</v>
      </c>
      <c r="C331" s="697">
        <v>5.2</v>
      </c>
      <c r="D331" s="464">
        <v>27771964</v>
      </c>
      <c r="E331" s="429"/>
      <c r="F331" s="2957" t="s">
        <v>2558</v>
      </c>
      <c r="G331" s="335"/>
      <c r="H331" s="697">
        <v>256.10000000000002</v>
      </c>
      <c r="I331" s="464">
        <v>38426069</v>
      </c>
      <c r="J331" s="423"/>
      <c r="K331" s="2443"/>
    </row>
    <row r="332" spans="1:11" ht="18" customHeight="1" x14ac:dyDescent="0.25">
      <c r="A332" s="1488" t="s">
        <v>2153</v>
      </c>
      <c r="B332" s="1388"/>
      <c r="C332" s="697">
        <f>14+1941.48</f>
        <v>1955.48</v>
      </c>
      <c r="D332" s="457">
        <v>27778147</v>
      </c>
      <c r="E332" s="429"/>
      <c r="F332" s="511" t="s">
        <v>2346</v>
      </c>
      <c r="G332" s="1384" t="s">
        <v>40</v>
      </c>
      <c r="H332" s="697">
        <v>422.64</v>
      </c>
      <c r="I332" s="464">
        <v>38440881</v>
      </c>
      <c r="J332" s="423"/>
      <c r="K332" s="2443"/>
    </row>
    <row r="333" spans="1:11" ht="18" customHeight="1" x14ac:dyDescent="0.25">
      <c r="A333" s="1757" t="s">
        <v>2219</v>
      </c>
      <c r="B333" s="585"/>
      <c r="C333" s="698">
        <v>2043.28</v>
      </c>
      <c r="D333" s="454">
        <v>27828537</v>
      </c>
      <c r="E333" s="429"/>
      <c r="F333" s="2491" t="s">
        <v>2626</v>
      </c>
      <c r="G333" s="626"/>
      <c r="H333" s="698">
        <v>4.8499999999999996</v>
      </c>
      <c r="I333" s="454">
        <v>38583100</v>
      </c>
      <c r="J333" s="423"/>
      <c r="K333" s="2443"/>
    </row>
    <row r="334" spans="1:11" ht="18" customHeight="1" x14ac:dyDescent="0.25">
      <c r="A334" s="1459" t="s">
        <v>1793</v>
      </c>
      <c r="B334" s="1519"/>
      <c r="C334" s="697">
        <v>25.9</v>
      </c>
      <c r="D334" s="457">
        <v>27840129</v>
      </c>
      <c r="E334" s="429"/>
      <c r="F334" s="494" t="s">
        <v>1768</v>
      </c>
      <c r="G334" s="626"/>
      <c r="H334" s="697">
        <v>7</v>
      </c>
      <c r="I334" s="464">
        <v>38615668</v>
      </c>
      <c r="J334" s="423"/>
      <c r="K334" s="2443"/>
    </row>
    <row r="335" spans="1:11" ht="18" customHeight="1" x14ac:dyDescent="0.25">
      <c r="A335" s="495" t="s">
        <v>1594</v>
      </c>
      <c r="B335" s="585" t="s">
        <v>40</v>
      </c>
      <c r="C335" s="698">
        <v>7.7</v>
      </c>
      <c r="D335" s="483">
        <v>27865550</v>
      </c>
      <c r="E335" s="429"/>
      <c r="F335" s="495" t="s">
        <v>1594</v>
      </c>
      <c r="G335" s="585" t="s">
        <v>40</v>
      </c>
      <c r="H335" s="698">
        <v>18.100000000000001</v>
      </c>
      <c r="I335" s="483">
        <v>38835244</v>
      </c>
      <c r="J335" s="423"/>
      <c r="K335" s="2443"/>
    </row>
    <row r="336" spans="1:11" ht="18" customHeight="1" x14ac:dyDescent="0.25">
      <c r="A336" s="3055" t="s">
        <v>2134</v>
      </c>
      <c r="B336" s="585"/>
      <c r="C336" s="698">
        <v>72</v>
      </c>
      <c r="D336" s="483">
        <v>27873382</v>
      </c>
      <c r="E336" s="429"/>
      <c r="F336" s="2498" t="s">
        <v>2585</v>
      </c>
      <c r="G336" s="585"/>
      <c r="H336" s="698">
        <v>14</v>
      </c>
      <c r="I336" s="454">
        <v>38937231</v>
      </c>
      <c r="J336" s="423"/>
      <c r="K336" s="2443"/>
    </row>
    <row r="337" spans="1:11" ht="18" customHeight="1" x14ac:dyDescent="0.25">
      <c r="A337" s="3088" t="s">
        <v>2050</v>
      </c>
      <c r="B337" s="335"/>
      <c r="C337" s="697">
        <v>2</v>
      </c>
      <c r="D337" s="1504">
        <v>27945406</v>
      </c>
      <c r="E337" s="429"/>
      <c r="F337" s="2313" t="s">
        <v>2556</v>
      </c>
      <c r="G337" s="563"/>
      <c r="H337" s="697">
        <v>86.63</v>
      </c>
      <c r="I337" s="457">
        <v>38954784</v>
      </c>
      <c r="J337" s="423"/>
      <c r="K337" s="2443"/>
    </row>
    <row r="338" spans="1:11" ht="18" customHeight="1" x14ac:dyDescent="0.25">
      <c r="A338" s="495" t="s">
        <v>1792</v>
      </c>
      <c r="B338" s="1388"/>
      <c r="C338" s="698">
        <v>21.23</v>
      </c>
      <c r="D338" s="464">
        <v>28068976</v>
      </c>
      <c r="E338" s="429"/>
      <c r="F338" s="495" t="s">
        <v>578</v>
      </c>
      <c r="G338" s="1384" t="s">
        <v>40</v>
      </c>
      <c r="H338" s="698">
        <v>38.299999999999997</v>
      </c>
      <c r="I338" s="464">
        <v>39002768</v>
      </c>
      <c r="J338" s="423"/>
      <c r="K338" s="2443"/>
    </row>
    <row r="339" spans="1:11" ht="18" customHeight="1" x14ac:dyDescent="0.25">
      <c r="A339" s="493" t="s">
        <v>2026</v>
      </c>
      <c r="B339" s="335"/>
      <c r="C339" s="698">
        <v>13.1</v>
      </c>
      <c r="D339" s="462">
        <v>28182358</v>
      </c>
      <c r="E339" s="429"/>
      <c r="F339" s="497" t="s">
        <v>575</v>
      </c>
      <c r="G339" s="570"/>
      <c r="H339" s="698">
        <v>83.5</v>
      </c>
      <c r="I339" s="442">
        <v>39131340</v>
      </c>
      <c r="J339" s="423"/>
      <c r="K339" s="2443"/>
    </row>
    <row r="340" spans="1:11" ht="18" customHeight="1" x14ac:dyDescent="0.25">
      <c r="A340" s="1829" t="s">
        <v>2558</v>
      </c>
      <c r="B340" s="1364"/>
      <c r="C340" s="697">
        <v>332.6</v>
      </c>
      <c r="D340" s="464">
        <v>28220496</v>
      </c>
      <c r="E340" s="429"/>
      <c r="F340" s="2993" t="s">
        <v>2217</v>
      </c>
      <c r="G340" s="1364"/>
      <c r="H340" s="697">
        <v>41.9</v>
      </c>
      <c r="I340" s="464">
        <v>39132527</v>
      </c>
      <c r="J340" s="423"/>
      <c r="K340" s="2443"/>
    </row>
    <row r="341" spans="1:11" ht="18" customHeight="1" x14ac:dyDescent="0.25">
      <c r="A341" s="2496" t="s">
        <v>2585</v>
      </c>
      <c r="B341" s="1364"/>
      <c r="C341" s="697">
        <v>24</v>
      </c>
      <c r="D341" s="457">
        <v>29256372</v>
      </c>
      <c r="E341" s="429"/>
      <c r="F341" s="1455" t="s">
        <v>1758</v>
      </c>
      <c r="G341" s="1400"/>
      <c r="H341" s="697">
        <v>116.8</v>
      </c>
      <c r="I341" s="464">
        <v>39281781</v>
      </c>
      <c r="J341" s="423"/>
      <c r="K341" s="2443"/>
    </row>
    <row r="342" spans="1:11" ht="18" customHeight="1" x14ac:dyDescent="0.25">
      <c r="A342" s="499" t="s">
        <v>575</v>
      </c>
      <c r="B342" s="620"/>
      <c r="C342" s="697">
        <v>34</v>
      </c>
      <c r="D342" s="455">
        <v>29400029</v>
      </c>
      <c r="E342" s="429"/>
      <c r="F342" s="499" t="s">
        <v>2153</v>
      </c>
      <c r="G342" s="620"/>
      <c r="H342" s="697">
        <v>1459</v>
      </c>
      <c r="I342" s="455">
        <v>39489430</v>
      </c>
      <c r="J342" s="423"/>
      <c r="K342" s="2443"/>
    </row>
    <row r="343" spans="1:11" ht="18" customHeight="1" x14ac:dyDescent="0.25">
      <c r="A343" s="2989" t="s">
        <v>2217</v>
      </c>
      <c r="B343" s="335"/>
      <c r="C343" s="658">
        <v>40.200000000000003</v>
      </c>
      <c r="D343" s="457">
        <v>29401902</v>
      </c>
      <c r="E343" s="429"/>
      <c r="F343" s="2981" t="s">
        <v>2152</v>
      </c>
      <c r="G343" s="335" t="s">
        <v>40</v>
      </c>
      <c r="H343" s="697">
        <v>15</v>
      </c>
      <c r="I343" s="464">
        <v>39612334</v>
      </c>
      <c r="J343" s="423"/>
      <c r="K343" s="2443"/>
    </row>
    <row r="344" spans="1:11" ht="18" customHeight="1" x14ac:dyDescent="0.25">
      <c r="A344" s="493" t="s">
        <v>1759</v>
      </c>
      <c r="B344" s="573"/>
      <c r="C344" s="698">
        <v>94</v>
      </c>
      <c r="D344" s="441">
        <v>29509332</v>
      </c>
      <c r="E344" s="429"/>
      <c r="F344" s="2978" t="s">
        <v>2134</v>
      </c>
      <c r="G344" s="335"/>
      <c r="H344" s="698">
        <v>37.700000000000003</v>
      </c>
      <c r="I344" s="441">
        <v>39655744</v>
      </c>
      <c r="J344" s="423"/>
      <c r="K344" s="2443"/>
    </row>
    <row r="345" spans="1:11" ht="18" customHeight="1" x14ac:dyDescent="0.25">
      <c r="A345" s="1777" t="s">
        <v>2149</v>
      </c>
      <c r="B345" s="585" t="s">
        <v>40</v>
      </c>
      <c r="C345" s="698">
        <v>30.9</v>
      </c>
      <c r="D345" s="454">
        <v>29833152</v>
      </c>
      <c r="E345" s="429"/>
      <c r="F345" s="2919" t="s">
        <v>1102</v>
      </c>
      <c r="G345" s="585" t="s">
        <v>40</v>
      </c>
      <c r="H345" s="698">
        <v>17</v>
      </c>
      <c r="I345" s="483">
        <v>39659424</v>
      </c>
      <c r="J345" s="423"/>
      <c r="K345" s="2443"/>
    </row>
    <row r="346" spans="1:11" ht="18" customHeight="1" x14ac:dyDescent="0.25">
      <c r="A346" s="499" t="s">
        <v>1767</v>
      </c>
      <c r="B346" s="573"/>
      <c r="C346" s="697">
        <v>10.6</v>
      </c>
      <c r="D346" s="455">
        <v>29895426</v>
      </c>
      <c r="E346" s="429"/>
      <c r="F346" s="499" t="s">
        <v>1756</v>
      </c>
      <c r="G346" s="335" t="s">
        <v>40</v>
      </c>
      <c r="H346" s="697">
        <v>39.9</v>
      </c>
      <c r="I346" s="455">
        <v>39691451</v>
      </c>
      <c r="J346" s="423"/>
      <c r="K346" s="2443"/>
    </row>
    <row r="347" spans="1:11" ht="18" customHeight="1" x14ac:dyDescent="0.25">
      <c r="A347" s="1458" t="s">
        <v>1102</v>
      </c>
      <c r="B347" s="571" t="s">
        <v>40</v>
      </c>
      <c r="C347" s="697">
        <v>17</v>
      </c>
      <c r="D347" s="439">
        <v>29900312</v>
      </c>
      <c r="E347" s="429"/>
      <c r="F347" s="493" t="s">
        <v>1711</v>
      </c>
      <c r="G347" s="571" t="s">
        <v>40</v>
      </c>
      <c r="H347" s="697">
        <v>20.100000000000001</v>
      </c>
      <c r="I347" s="439">
        <v>40021365</v>
      </c>
      <c r="J347" s="423"/>
      <c r="K347" s="2443"/>
    </row>
    <row r="348" spans="1:11" ht="18" customHeight="1" x14ac:dyDescent="0.25">
      <c r="A348" s="499" t="s">
        <v>1790</v>
      </c>
      <c r="B348" s="566"/>
      <c r="C348" s="697">
        <v>17.899999999999999</v>
      </c>
      <c r="D348" s="439">
        <v>29901136</v>
      </c>
      <c r="E348" s="429"/>
      <c r="F348" s="2202" t="s">
        <v>2219</v>
      </c>
      <c r="G348" s="335"/>
      <c r="H348" s="697">
        <v>695.07</v>
      </c>
      <c r="I348" s="439">
        <v>40222812</v>
      </c>
      <c r="J348" s="423"/>
      <c r="K348" s="2443"/>
    </row>
    <row r="349" spans="1:11" ht="18" customHeight="1" x14ac:dyDescent="0.25">
      <c r="A349" s="495" t="s">
        <v>921</v>
      </c>
      <c r="B349" s="580"/>
      <c r="C349" s="697">
        <v>11.9</v>
      </c>
      <c r="D349" s="439">
        <v>29903668</v>
      </c>
      <c r="E349" s="429"/>
      <c r="F349" s="2496" t="s">
        <v>2636</v>
      </c>
      <c r="G349" s="335" t="s">
        <v>40</v>
      </c>
      <c r="H349" s="659">
        <v>13.7</v>
      </c>
      <c r="I349" s="439">
        <v>40360343</v>
      </c>
      <c r="J349" s="423"/>
      <c r="K349" s="2443"/>
    </row>
    <row r="350" spans="1:11" ht="18" customHeight="1" x14ac:dyDescent="0.25">
      <c r="A350" s="2975" t="s">
        <v>2190</v>
      </c>
      <c r="B350" s="579" t="s">
        <v>40</v>
      </c>
      <c r="C350" s="697">
        <v>9.4</v>
      </c>
      <c r="D350" s="439">
        <v>29903668</v>
      </c>
      <c r="E350" s="429"/>
      <c r="F350" s="497" t="s">
        <v>921</v>
      </c>
      <c r="G350" s="598"/>
      <c r="H350" s="697">
        <v>27.5</v>
      </c>
      <c r="I350" s="439">
        <v>40448535</v>
      </c>
      <c r="J350" s="423"/>
      <c r="K350" s="2443"/>
    </row>
    <row r="351" spans="1:11" ht="18" customHeight="1" x14ac:dyDescent="0.25">
      <c r="A351" s="2981" t="s">
        <v>2152</v>
      </c>
      <c r="B351" s="335" t="s">
        <v>40</v>
      </c>
      <c r="C351" s="698">
        <v>14</v>
      </c>
      <c r="D351" s="464">
        <v>29906888</v>
      </c>
      <c r="E351" s="429"/>
      <c r="F351" s="2981" t="s">
        <v>2190</v>
      </c>
      <c r="G351" s="335" t="s">
        <v>40</v>
      </c>
      <c r="H351" s="698">
        <v>26.7</v>
      </c>
      <c r="I351" s="464">
        <v>40448535</v>
      </c>
      <c r="J351" s="423"/>
      <c r="K351" s="2443"/>
    </row>
    <row r="352" spans="1:11" ht="18" customHeight="1" x14ac:dyDescent="0.25">
      <c r="A352" s="2981" t="s">
        <v>1100</v>
      </c>
      <c r="B352" s="335" t="s">
        <v>40</v>
      </c>
      <c r="C352" s="697">
        <v>10.6</v>
      </c>
      <c r="D352" s="455">
        <v>29912174</v>
      </c>
      <c r="E352" s="429"/>
      <c r="F352" s="2975" t="s">
        <v>1100</v>
      </c>
      <c r="G352" s="335" t="s">
        <v>40</v>
      </c>
      <c r="H352" s="697">
        <v>16.7</v>
      </c>
      <c r="I352" s="455">
        <v>40463174</v>
      </c>
      <c r="J352" s="423"/>
      <c r="K352" s="2443"/>
    </row>
    <row r="353" spans="1:11" ht="18" customHeight="1" x14ac:dyDescent="0.25">
      <c r="A353" s="497" t="s">
        <v>1768</v>
      </c>
      <c r="B353" s="574"/>
      <c r="C353" s="697">
        <v>5</v>
      </c>
      <c r="D353" s="439">
        <v>29932811</v>
      </c>
      <c r="E353" s="429"/>
      <c r="F353" s="493" t="s">
        <v>1767</v>
      </c>
      <c r="G353" s="574"/>
      <c r="H353" s="697">
        <v>7.46</v>
      </c>
      <c r="I353" s="455">
        <v>40463290</v>
      </c>
      <c r="J353" s="423"/>
      <c r="K353" s="2443"/>
    </row>
    <row r="354" spans="1:11" ht="18" customHeight="1" x14ac:dyDescent="0.25">
      <c r="A354" s="500" t="s">
        <v>2346</v>
      </c>
      <c r="B354" s="641" t="s">
        <v>40</v>
      </c>
      <c r="C354" s="697">
        <v>407.9</v>
      </c>
      <c r="D354" s="443">
        <v>30063889</v>
      </c>
      <c r="E354" s="429"/>
      <c r="F354" s="497" t="s">
        <v>1759</v>
      </c>
      <c r="G354" s="591"/>
      <c r="H354" s="697">
        <v>39</v>
      </c>
      <c r="I354" s="443">
        <v>40555369</v>
      </c>
      <c r="J354" s="423"/>
      <c r="K354" s="2443"/>
    </row>
    <row r="355" spans="1:11" ht="18" customHeight="1" x14ac:dyDescent="0.25">
      <c r="A355" s="2313" t="s">
        <v>2626</v>
      </c>
      <c r="B355" s="626"/>
      <c r="C355" s="697">
        <v>6.13</v>
      </c>
      <c r="D355" s="455">
        <v>30239568</v>
      </c>
      <c r="E355" s="429"/>
      <c r="F355" s="1465" t="s">
        <v>1959</v>
      </c>
      <c r="G355" s="626"/>
      <c r="H355" s="697">
        <v>2.2400000000000002</v>
      </c>
      <c r="I355" s="439">
        <v>40813724</v>
      </c>
      <c r="J355" s="423"/>
      <c r="K355" s="2443"/>
    </row>
    <row r="356" spans="1:11" ht="18" customHeight="1" x14ac:dyDescent="0.25">
      <c r="A356" s="2313" t="s">
        <v>2636</v>
      </c>
      <c r="B356" s="601" t="s">
        <v>40</v>
      </c>
      <c r="C356" s="697">
        <v>19.899999999999999</v>
      </c>
      <c r="D356" s="439">
        <v>33919595</v>
      </c>
      <c r="E356" s="429"/>
      <c r="F356" s="493" t="s">
        <v>2625</v>
      </c>
      <c r="G356" s="601" t="s">
        <v>40</v>
      </c>
      <c r="H356" s="659">
        <v>21.1</v>
      </c>
      <c r="I356" s="439">
        <v>41081623</v>
      </c>
      <c r="J356" s="423"/>
      <c r="K356" s="2443"/>
    </row>
    <row r="357" spans="1:11" ht="18" customHeight="1" x14ac:dyDescent="0.25">
      <c r="A357" s="1390" t="s">
        <v>1959</v>
      </c>
      <c r="B357" s="573"/>
      <c r="C357" s="697">
        <v>2.29</v>
      </c>
      <c r="D357" s="1793">
        <v>35743635</v>
      </c>
      <c r="E357" s="429"/>
      <c r="F357" s="1500" t="s">
        <v>503</v>
      </c>
      <c r="G357" s="580"/>
      <c r="H357" s="697"/>
      <c r="I357" s="1792">
        <v>43116032</v>
      </c>
      <c r="J357" s="423"/>
      <c r="K357" s="2443"/>
    </row>
    <row r="358" spans="1:11" ht="18" customHeight="1" x14ac:dyDescent="0.25">
      <c r="A358" s="497" t="s">
        <v>2625</v>
      </c>
      <c r="B358" s="592" t="s">
        <v>40</v>
      </c>
      <c r="C358" s="659">
        <v>0.6</v>
      </c>
      <c r="D358" s="439">
        <v>37386247</v>
      </c>
      <c r="E358" s="429"/>
      <c r="F358" s="1372" t="s">
        <v>2145</v>
      </c>
      <c r="G358" s="592"/>
      <c r="H358" s="697">
        <v>705.9</v>
      </c>
      <c r="I358" s="463">
        <v>69300529</v>
      </c>
      <c r="J358" s="423"/>
      <c r="K358" s="2443"/>
    </row>
    <row r="359" spans="1:11" ht="18" customHeight="1" x14ac:dyDescent="0.25">
      <c r="A359" s="517" t="s">
        <v>503</v>
      </c>
      <c r="B359" s="2069"/>
      <c r="C359" s="697"/>
      <c r="D359" s="455">
        <v>43383462</v>
      </c>
      <c r="E359" s="429"/>
      <c r="F359" s="2455" t="s">
        <v>1115</v>
      </c>
      <c r="G359" s="592"/>
      <c r="H359" s="697">
        <v>67</v>
      </c>
      <c r="I359" s="463">
        <v>84580962</v>
      </c>
      <c r="J359" s="423"/>
      <c r="K359" s="2443"/>
    </row>
    <row r="360" spans="1:11" ht="18" customHeight="1" x14ac:dyDescent="0.25">
      <c r="A360" s="2447" t="s">
        <v>2145</v>
      </c>
      <c r="B360" s="335"/>
      <c r="C360" s="697">
        <v>612.1</v>
      </c>
      <c r="D360" s="463">
        <v>65507273</v>
      </c>
      <c r="E360" s="429"/>
      <c r="F360" s="2447" t="s">
        <v>1117</v>
      </c>
      <c r="G360" s="335"/>
      <c r="H360" s="697">
        <v>46</v>
      </c>
      <c r="I360" s="463">
        <v>110391519</v>
      </c>
      <c r="J360" s="423"/>
      <c r="K360" s="2443"/>
    </row>
    <row r="361" spans="1:11" ht="18" customHeight="1" x14ac:dyDescent="0.25">
      <c r="A361" s="2465" t="s">
        <v>1115</v>
      </c>
      <c r="B361" s="601"/>
      <c r="C361" s="697">
        <v>54</v>
      </c>
      <c r="D361" s="460">
        <v>79755632</v>
      </c>
      <c r="E361" s="429"/>
      <c r="F361" s="1372" t="s">
        <v>1114</v>
      </c>
      <c r="G361" s="601"/>
      <c r="H361" s="697">
        <v>18</v>
      </c>
      <c r="I361" s="460">
        <v>131850080</v>
      </c>
      <c r="J361" s="423"/>
      <c r="K361" s="2443"/>
    </row>
    <row r="362" spans="1:11" ht="18" customHeight="1" x14ac:dyDescent="0.25">
      <c r="A362" s="2441" t="s">
        <v>1117</v>
      </c>
      <c r="B362" s="594"/>
      <c r="C362" s="697">
        <v>26</v>
      </c>
      <c r="D362" s="463">
        <v>102062163</v>
      </c>
      <c r="E362" s="429"/>
      <c r="F362" s="523" t="s">
        <v>2487</v>
      </c>
      <c r="G362" s="594"/>
      <c r="H362" s="658"/>
      <c r="I362" s="463" t="s">
        <v>482</v>
      </c>
      <c r="J362" s="423"/>
      <c r="K362" s="2443"/>
    </row>
    <row r="363" spans="1:11" ht="18" customHeight="1" x14ac:dyDescent="0.25">
      <c r="A363" s="2461" t="s">
        <v>1114</v>
      </c>
      <c r="B363" s="1462"/>
      <c r="C363" s="697">
        <v>12</v>
      </c>
      <c r="D363" s="1464">
        <v>120865900</v>
      </c>
      <c r="E363" s="429"/>
      <c r="F363" s="2065" t="s">
        <v>2344</v>
      </c>
      <c r="G363" s="1462"/>
      <c r="H363" s="697"/>
      <c r="I363" s="1464" t="s">
        <v>482</v>
      </c>
      <c r="J363" s="423"/>
      <c r="K363" s="2443"/>
    </row>
    <row r="364" spans="1:11" ht="18" customHeight="1" x14ac:dyDescent="0.25">
      <c r="A364" s="525"/>
      <c r="B364" s="575"/>
      <c r="C364" s="677"/>
      <c r="D364" s="177"/>
      <c r="E364" s="429"/>
      <c r="F364" s="2463"/>
      <c r="G364" s="575"/>
      <c r="H364" s="719"/>
      <c r="I364" s="229"/>
      <c r="J364" s="423"/>
      <c r="K364" s="2443"/>
    </row>
    <row r="365" spans="1:11" ht="18" customHeight="1" x14ac:dyDescent="0.25">
      <c r="A365" s="525"/>
      <c r="B365" s="575"/>
      <c r="C365" s="677"/>
      <c r="D365" s="177"/>
      <c r="E365" s="429"/>
      <c r="F365" s="2463"/>
      <c r="G365" s="575"/>
      <c r="H365" s="719"/>
      <c r="I365" s="229"/>
      <c r="J365" s="423"/>
      <c r="K365" s="2443"/>
    </row>
    <row r="366" spans="1:11" ht="18" customHeight="1" x14ac:dyDescent="0.25">
      <c r="A366" s="525"/>
      <c r="B366" s="575"/>
      <c r="C366" s="677"/>
      <c r="D366" s="177"/>
      <c r="E366" s="429"/>
      <c r="F366" s="2463"/>
      <c r="G366" s="575"/>
      <c r="H366" s="719"/>
      <c r="I366" s="229"/>
      <c r="J366" s="423"/>
      <c r="K366" s="2443"/>
    </row>
    <row r="367" spans="1:11" ht="24" customHeight="1" x14ac:dyDescent="0.25">
      <c r="A367" s="1624" t="s">
        <v>2342</v>
      </c>
      <c r="B367" s="581"/>
      <c r="C367" s="2430" t="s">
        <v>480</v>
      </c>
      <c r="D367" s="435" t="s">
        <v>1118</v>
      </c>
      <c r="E367" s="429"/>
      <c r="F367" s="1624" t="s">
        <v>2333</v>
      </c>
      <c r="G367" s="581"/>
      <c r="H367" s="2430" t="s">
        <v>480</v>
      </c>
      <c r="I367" s="435" t="s">
        <v>1119</v>
      </c>
      <c r="J367" s="423"/>
      <c r="K367" s="2443"/>
    </row>
    <row r="368" spans="1:11" ht="18" customHeight="1" x14ac:dyDescent="0.25">
      <c r="A368" s="2441" t="s">
        <v>2050</v>
      </c>
      <c r="B368" s="582"/>
      <c r="C368" s="739">
        <v>1</v>
      </c>
      <c r="D368" s="489">
        <v>12373500</v>
      </c>
      <c r="E368" s="429"/>
      <c r="F368" s="2441" t="s">
        <v>2050</v>
      </c>
      <c r="G368" s="582"/>
      <c r="H368" s="739">
        <v>2</v>
      </c>
      <c r="I368" s="489">
        <v>29951752</v>
      </c>
      <c r="J368" s="423"/>
      <c r="K368" s="2443"/>
    </row>
    <row r="369" spans="1:11" ht="18" customHeight="1" x14ac:dyDescent="0.25">
      <c r="A369" s="523" t="s">
        <v>2469</v>
      </c>
      <c r="B369" s="4735" t="s">
        <v>40</v>
      </c>
      <c r="C369" s="724">
        <v>4427.3100000000004</v>
      </c>
      <c r="D369" s="2853">
        <v>9858753</v>
      </c>
      <c r="E369" s="429"/>
      <c r="F369" s="2068" t="s">
        <v>2344</v>
      </c>
      <c r="G369" s="565"/>
      <c r="H369" s="724">
        <v>10</v>
      </c>
      <c r="I369" s="490">
        <v>30428170</v>
      </c>
      <c r="J369" s="423"/>
      <c r="K369" s="2443"/>
    </row>
    <row r="370" spans="1:11" ht="18" customHeight="1" x14ac:dyDescent="0.25">
      <c r="A370" s="4750" t="s">
        <v>2792</v>
      </c>
      <c r="B370" s="563" t="s">
        <v>40</v>
      </c>
      <c r="C370" s="697">
        <v>3651.9</v>
      </c>
      <c r="D370" s="439">
        <v>9879804</v>
      </c>
      <c r="E370" s="429"/>
      <c r="F370" s="2487" t="s">
        <v>2621</v>
      </c>
      <c r="G370" s="335"/>
      <c r="H370" s="697">
        <v>9733.9</v>
      </c>
      <c r="I370" s="455">
        <v>31618624</v>
      </c>
      <c r="J370" s="423"/>
      <c r="K370" s="2443"/>
    </row>
    <row r="371" spans="1:11" ht="18" customHeight="1" x14ac:dyDescent="0.25">
      <c r="A371" s="3286" t="s">
        <v>2478</v>
      </c>
      <c r="B371" s="4727" t="s">
        <v>40</v>
      </c>
      <c r="C371" s="698">
        <v>3156.05</v>
      </c>
      <c r="D371" s="3019">
        <v>9915085</v>
      </c>
      <c r="E371" s="429"/>
      <c r="F371" s="3038" t="s">
        <v>2630</v>
      </c>
      <c r="G371" s="1835"/>
      <c r="H371" s="698">
        <v>865.6</v>
      </c>
      <c r="I371" s="3016">
        <v>31663841</v>
      </c>
      <c r="J371" s="423"/>
      <c r="K371" s="2443"/>
    </row>
    <row r="372" spans="1:11" ht="18" customHeight="1" x14ac:dyDescent="0.25">
      <c r="A372" s="3286" t="s">
        <v>2482</v>
      </c>
      <c r="B372" s="3188" t="s">
        <v>40</v>
      </c>
      <c r="C372" s="3189">
        <v>4667.5600000000004</v>
      </c>
      <c r="D372" s="3195">
        <v>9924478</v>
      </c>
      <c r="E372" s="429"/>
      <c r="F372" s="3286" t="s">
        <v>2631</v>
      </c>
      <c r="G372" s="3194"/>
      <c r="H372" s="3189">
        <v>571.6</v>
      </c>
      <c r="I372" s="3195">
        <v>31665480</v>
      </c>
      <c r="J372" s="423"/>
      <c r="K372" s="2443"/>
    </row>
    <row r="373" spans="1:11" ht="18" customHeight="1" x14ac:dyDescent="0.25">
      <c r="A373" s="1688" t="s">
        <v>2483</v>
      </c>
      <c r="B373" s="3015" t="s">
        <v>40</v>
      </c>
      <c r="C373" s="698">
        <v>3714.95</v>
      </c>
      <c r="D373" s="3019">
        <v>9925207</v>
      </c>
      <c r="E373" s="429"/>
      <c r="F373" s="2957" t="s">
        <v>2632</v>
      </c>
      <c r="G373" s="3015"/>
      <c r="H373" s="698">
        <v>665.8</v>
      </c>
      <c r="I373" s="3016">
        <v>31669210</v>
      </c>
      <c r="J373" s="423"/>
      <c r="K373" s="2443"/>
    </row>
    <row r="374" spans="1:11" ht="18" customHeight="1" x14ac:dyDescent="0.25">
      <c r="A374" s="2974" t="s">
        <v>2621</v>
      </c>
      <c r="B374" s="3015"/>
      <c r="C374" s="698">
        <v>8771.1</v>
      </c>
      <c r="D374" s="3019">
        <v>10195176</v>
      </c>
      <c r="E374" s="429"/>
      <c r="F374" s="4748" t="s">
        <v>2792</v>
      </c>
      <c r="G374" s="3097" t="s">
        <v>40</v>
      </c>
      <c r="H374" s="698">
        <v>4336.6000000000004</v>
      </c>
      <c r="I374" s="3019">
        <v>31720484</v>
      </c>
      <c r="J374" s="423"/>
      <c r="K374" s="2443"/>
    </row>
    <row r="375" spans="1:11" ht="18" customHeight="1" x14ac:dyDescent="0.25">
      <c r="A375" s="2966" t="s">
        <v>2638</v>
      </c>
      <c r="B375" s="3297"/>
      <c r="C375" s="697">
        <v>873.4</v>
      </c>
      <c r="D375" s="1792">
        <v>10498267</v>
      </c>
      <c r="E375" s="429"/>
      <c r="F375" s="1488" t="s">
        <v>2478</v>
      </c>
      <c r="G375" s="4741" t="s">
        <v>40</v>
      </c>
      <c r="H375" s="697">
        <v>4372.32</v>
      </c>
      <c r="I375" s="1792">
        <v>31730470</v>
      </c>
      <c r="J375" s="423"/>
      <c r="K375" s="2443"/>
    </row>
    <row r="376" spans="1:11" ht="18" customHeight="1" x14ac:dyDescent="0.25">
      <c r="A376" s="2857" t="s">
        <v>2630</v>
      </c>
      <c r="B376" s="2043"/>
      <c r="C376" s="697">
        <v>944.5</v>
      </c>
      <c r="D376" s="1792">
        <v>10498950</v>
      </c>
      <c r="E376" s="429"/>
      <c r="F376" s="4657" t="s">
        <v>2495</v>
      </c>
      <c r="G376" s="2043" t="s">
        <v>40</v>
      </c>
      <c r="H376" s="697">
        <v>432.62</v>
      </c>
      <c r="I376" s="1792">
        <v>31733249</v>
      </c>
      <c r="J376" s="423"/>
      <c r="K376" s="2443"/>
    </row>
    <row r="377" spans="1:11" ht="18" customHeight="1" x14ac:dyDescent="0.25">
      <c r="A377" s="4648" t="s">
        <v>2495</v>
      </c>
      <c r="B377" s="1835" t="s">
        <v>40</v>
      </c>
      <c r="C377" s="697">
        <v>342.14</v>
      </c>
      <c r="D377" s="1793">
        <v>10629402</v>
      </c>
      <c r="E377" s="429"/>
      <c r="F377" s="1375" t="s">
        <v>2634</v>
      </c>
      <c r="G377" s="1835"/>
      <c r="H377" s="697">
        <v>605.9</v>
      </c>
      <c r="I377" s="1792">
        <v>31740504</v>
      </c>
      <c r="J377" s="423"/>
      <c r="K377" s="2443"/>
    </row>
    <row r="378" spans="1:11" ht="18" customHeight="1" x14ac:dyDescent="0.25">
      <c r="A378" s="2409" t="s">
        <v>2002</v>
      </c>
      <c r="B378" s="2396" t="s">
        <v>40</v>
      </c>
      <c r="C378" s="697">
        <v>428.05</v>
      </c>
      <c r="D378" s="1793">
        <v>10635828</v>
      </c>
      <c r="E378" s="429"/>
      <c r="F378" s="2982" t="s">
        <v>2469</v>
      </c>
      <c r="G378" s="4752" t="s">
        <v>40</v>
      </c>
      <c r="H378" s="697">
        <v>4896.82</v>
      </c>
      <c r="I378" s="1792">
        <v>31762543</v>
      </c>
      <c r="J378" s="423"/>
      <c r="K378" s="2443"/>
    </row>
    <row r="379" spans="1:11" ht="18" customHeight="1" x14ac:dyDescent="0.25">
      <c r="A379" s="1465" t="s">
        <v>748</v>
      </c>
      <c r="B379" s="585" t="s">
        <v>40</v>
      </c>
      <c r="C379" s="698">
        <v>460.53</v>
      </c>
      <c r="D379" s="483">
        <v>10646494</v>
      </c>
      <c r="E379" s="429"/>
      <c r="F379" s="1465" t="s">
        <v>921</v>
      </c>
      <c r="G379" s="2440"/>
      <c r="H379" s="698">
        <v>14.78</v>
      </c>
      <c r="I379" s="483">
        <v>32228239</v>
      </c>
      <c r="J379" s="423"/>
      <c r="K379" s="2443"/>
    </row>
    <row r="380" spans="1:11" ht="18" customHeight="1" x14ac:dyDescent="0.25">
      <c r="A380" s="2323" t="s">
        <v>2623</v>
      </c>
      <c r="B380" s="1803"/>
      <c r="C380" s="697">
        <v>506.5</v>
      </c>
      <c r="D380" s="1793">
        <v>10784183</v>
      </c>
      <c r="E380" s="429"/>
      <c r="F380" s="2975" t="s">
        <v>2190</v>
      </c>
      <c r="G380" s="1803" t="s">
        <v>40</v>
      </c>
      <c r="H380" s="697">
        <v>27.3</v>
      </c>
      <c r="I380" s="1793">
        <v>32228239</v>
      </c>
      <c r="J380" s="423"/>
      <c r="K380" s="2443"/>
    </row>
    <row r="381" spans="1:11" ht="18" customHeight="1" x14ac:dyDescent="0.25">
      <c r="A381" s="1455" t="s">
        <v>1833</v>
      </c>
      <c r="B381" s="1790" t="s">
        <v>40</v>
      </c>
      <c r="C381" s="697">
        <v>75.569999999999993</v>
      </c>
      <c r="D381" s="1792">
        <v>10972686</v>
      </c>
      <c r="E381" s="429"/>
      <c r="F381" s="1455" t="s">
        <v>1792</v>
      </c>
      <c r="G381" s="2224"/>
      <c r="H381" s="697">
        <v>56.74</v>
      </c>
      <c r="I381" s="1793">
        <v>32526438</v>
      </c>
      <c r="J381" s="423"/>
      <c r="K381" s="2443"/>
    </row>
    <row r="382" spans="1:11" ht="18" customHeight="1" x14ac:dyDescent="0.25">
      <c r="A382" s="2974" t="s">
        <v>2487</v>
      </c>
      <c r="B382" s="2043"/>
      <c r="C382" s="697">
        <v>4.57</v>
      </c>
      <c r="D382" s="1793">
        <v>11164375</v>
      </c>
      <c r="E382" s="429"/>
      <c r="F382" s="1688" t="s">
        <v>1833</v>
      </c>
      <c r="G382" s="2043" t="s">
        <v>40</v>
      </c>
      <c r="H382" s="697">
        <v>56.348999999999997</v>
      </c>
      <c r="I382" s="1792">
        <v>32592727</v>
      </c>
      <c r="J382" s="423"/>
      <c r="K382" s="2443"/>
    </row>
    <row r="383" spans="1:11" ht="18" customHeight="1" x14ac:dyDescent="0.25">
      <c r="A383" s="1390" t="s">
        <v>2631</v>
      </c>
      <c r="B383" s="2043"/>
      <c r="C383" s="697">
        <v>680.3</v>
      </c>
      <c r="D383" s="1792">
        <v>11297392</v>
      </c>
      <c r="E383" s="429"/>
      <c r="F383" s="2975" t="s">
        <v>2002</v>
      </c>
      <c r="G383" s="2043" t="s">
        <v>40</v>
      </c>
      <c r="H383" s="697">
        <v>430.8</v>
      </c>
      <c r="I383" s="1793">
        <v>32599629</v>
      </c>
      <c r="J383" s="423"/>
      <c r="K383" s="2443"/>
    </row>
    <row r="384" spans="1:11" ht="18" customHeight="1" x14ac:dyDescent="0.25">
      <c r="A384" s="1726" t="s">
        <v>2634</v>
      </c>
      <c r="B384" s="1752"/>
      <c r="C384" s="697">
        <v>709</v>
      </c>
      <c r="D384" s="1754">
        <v>11298048</v>
      </c>
      <c r="E384" s="429"/>
      <c r="F384" s="1726" t="s">
        <v>748</v>
      </c>
      <c r="G384" s="1752" t="s">
        <v>40</v>
      </c>
      <c r="H384" s="697">
        <v>507.15</v>
      </c>
      <c r="I384" s="1753">
        <v>32599956</v>
      </c>
      <c r="J384" s="423"/>
      <c r="K384" s="2443"/>
    </row>
    <row r="385" spans="1:11" ht="18" customHeight="1" x14ac:dyDescent="0.25">
      <c r="A385" s="2966" t="s">
        <v>2632</v>
      </c>
      <c r="B385" s="1790"/>
      <c r="C385" s="698">
        <v>586.6</v>
      </c>
      <c r="D385" s="1792">
        <v>11298128</v>
      </c>
      <c r="E385" s="429"/>
      <c r="F385" s="2966" t="s">
        <v>2623</v>
      </c>
      <c r="G385" s="1790"/>
      <c r="H385" s="698">
        <v>474.5</v>
      </c>
      <c r="I385" s="1793">
        <v>32607161</v>
      </c>
      <c r="J385" s="423"/>
      <c r="K385" s="2443"/>
    </row>
    <row r="386" spans="1:11" ht="18" customHeight="1" x14ac:dyDescent="0.25">
      <c r="A386" s="1760" t="s">
        <v>1826</v>
      </c>
      <c r="B386" s="1384" t="s">
        <v>40</v>
      </c>
      <c r="C386" s="697">
        <v>35.979999999999997</v>
      </c>
      <c r="D386" s="1793">
        <v>11303380</v>
      </c>
      <c r="E386" s="429"/>
      <c r="F386" s="493" t="s">
        <v>2479</v>
      </c>
      <c r="G386" s="1384" t="s">
        <v>40</v>
      </c>
      <c r="H386" s="697">
        <v>3186.87</v>
      </c>
      <c r="I386" s="1793">
        <v>32609975</v>
      </c>
      <c r="J386" s="423"/>
      <c r="K386" s="2443"/>
    </row>
    <row r="387" spans="1:11" ht="18" customHeight="1" x14ac:dyDescent="0.25">
      <c r="A387" s="493" t="s">
        <v>1101</v>
      </c>
      <c r="B387" s="626"/>
      <c r="C387" s="698">
        <v>85.34</v>
      </c>
      <c r="D387" s="483">
        <v>11593462</v>
      </c>
      <c r="E387" s="429"/>
      <c r="F387" s="493" t="s">
        <v>2482</v>
      </c>
      <c r="G387" s="585" t="s">
        <v>40</v>
      </c>
      <c r="H387" s="698">
        <v>3823.85</v>
      </c>
      <c r="I387" s="454">
        <v>32640068</v>
      </c>
      <c r="J387" s="423"/>
      <c r="K387" s="2443"/>
    </row>
    <row r="388" spans="1:11" ht="18" customHeight="1" x14ac:dyDescent="0.25">
      <c r="A388" s="2971" t="s">
        <v>2558</v>
      </c>
      <c r="B388" s="2043"/>
      <c r="C388" s="697">
        <v>197.8</v>
      </c>
      <c r="D388" s="1793">
        <v>11752129</v>
      </c>
      <c r="E388" s="429"/>
      <c r="F388" s="2481" t="s">
        <v>2483</v>
      </c>
      <c r="G388" s="2043" t="s">
        <v>40</v>
      </c>
      <c r="H388" s="697">
        <v>3107.38</v>
      </c>
      <c r="I388" s="1793">
        <v>32650079</v>
      </c>
      <c r="J388" s="423"/>
      <c r="K388" s="2443"/>
    </row>
    <row r="389" spans="1:11" ht="18" customHeight="1" x14ac:dyDescent="0.25">
      <c r="A389" s="2193" t="s">
        <v>2026</v>
      </c>
      <c r="B389" s="335"/>
      <c r="C389" s="697">
        <v>21.86</v>
      </c>
      <c r="D389" s="1753">
        <v>11753026</v>
      </c>
      <c r="E389" s="429"/>
      <c r="F389" s="1761" t="s">
        <v>1826</v>
      </c>
      <c r="G389" s="335" t="s">
        <v>40</v>
      </c>
      <c r="H389" s="697">
        <v>25.3</v>
      </c>
      <c r="I389" s="1753">
        <v>32750940</v>
      </c>
      <c r="J389" s="423"/>
      <c r="K389" s="2443"/>
    </row>
    <row r="390" spans="1:11" ht="18" customHeight="1" x14ac:dyDescent="0.25">
      <c r="A390" s="1688" t="s">
        <v>1792</v>
      </c>
      <c r="B390" s="570"/>
      <c r="C390" s="697">
        <v>51.36</v>
      </c>
      <c r="D390" s="464">
        <v>12149397</v>
      </c>
      <c r="E390" s="429"/>
      <c r="F390" s="1688" t="s">
        <v>1790</v>
      </c>
      <c r="G390" s="566"/>
      <c r="H390" s="697">
        <v>15.468</v>
      </c>
      <c r="I390" s="464">
        <v>32766320</v>
      </c>
      <c r="J390" s="423"/>
      <c r="K390" s="2443"/>
    </row>
    <row r="391" spans="1:11" ht="18" customHeight="1" x14ac:dyDescent="0.25">
      <c r="A391" s="2976" t="s">
        <v>2585</v>
      </c>
      <c r="B391" s="1384"/>
      <c r="C391" s="697">
        <v>8</v>
      </c>
      <c r="D391" s="464">
        <v>12174964</v>
      </c>
      <c r="E391" s="429"/>
      <c r="F391" s="1488" t="s">
        <v>1101</v>
      </c>
      <c r="G391" s="1386"/>
      <c r="H391" s="697">
        <v>278.3</v>
      </c>
      <c r="I391" s="464">
        <v>32767493</v>
      </c>
      <c r="J391" s="423"/>
      <c r="K391" s="2443"/>
    </row>
    <row r="392" spans="1:11" ht="18" customHeight="1" x14ac:dyDescent="0.25">
      <c r="A392" s="494" t="s">
        <v>1594</v>
      </c>
      <c r="B392" s="585" t="s">
        <v>40</v>
      </c>
      <c r="C392" s="698">
        <v>3.73</v>
      </c>
      <c r="D392" s="483">
        <v>12206902</v>
      </c>
      <c r="E392" s="429"/>
      <c r="F392" s="2993" t="s">
        <v>2217</v>
      </c>
      <c r="G392" s="585"/>
      <c r="H392" s="698">
        <v>37.9</v>
      </c>
      <c r="I392" s="454">
        <v>32767640</v>
      </c>
      <c r="J392" s="423"/>
      <c r="K392" s="2443"/>
    </row>
    <row r="393" spans="1:11" ht="18" customHeight="1" x14ac:dyDescent="0.25">
      <c r="A393" s="494" t="s">
        <v>578</v>
      </c>
      <c r="B393" s="585" t="s">
        <v>40</v>
      </c>
      <c r="C393" s="697">
        <v>6.18</v>
      </c>
      <c r="D393" s="464">
        <v>12330318</v>
      </c>
      <c r="E393" s="429"/>
      <c r="F393" s="3286" t="s">
        <v>575</v>
      </c>
      <c r="G393" s="4751"/>
      <c r="H393" s="697">
        <v>38</v>
      </c>
      <c r="I393" s="457">
        <v>32771313</v>
      </c>
      <c r="J393" s="423"/>
      <c r="K393" s="2443"/>
    </row>
    <row r="394" spans="1:11" ht="18" customHeight="1" x14ac:dyDescent="0.25">
      <c r="A394" s="555" t="s">
        <v>1793</v>
      </c>
      <c r="B394" s="1519"/>
      <c r="C394" s="698">
        <v>15.9</v>
      </c>
      <c r="D394" s="454">
        <v>12376562</v>
      </c>
      <c r="E394" s="429"/>
      <c r="F394" s="555" t="s">
        <v>1793</v>
      </c>
      <c r="G394" s="1519"/>
      <c r="H394" s="698">
        <v>18.96</v>
      </c>
      <c r="I394" s="454">
        <v>32777050</v>
      </c>
      <c r="J394" s="423"/>
      <c r="K394" s="2443"/>
    </row>
    <row r="395" spans="1:11" ht="18" customHeight="1" x14ac:dyDescent="0.25">
      <c r="A395" s="1488" t="s">
        <v>2153</v>
      </c>
      <c r="B395" s="586"/>
      <c r="C395" s="698">
        <v>980.6</v>
      </c>
      <c r="D395" s="454">
        <v>12580858</v>
      </c>
      <c r="E395" s="429"/>
      <c r="F395" s="1488" t="s">
        <v>1758</v>
      </c>
      <c r="G395" s="2046"/>
      <c r="H395" s="698">
        <v>65.400000000000006</v>
      </c>
      <c r="I395" s="483">
        <v>32804326</v>
      </c>
      <c r="J395" s="423"/>
      <c r="K395" s="2443"/>
    </row>
    <row r="396" spans="1:11" ht="18" customHeight="1" x14ac:dyDescent="0.25">
      <c r="A396" s="1688" t="s">
        <v>1758</v>
      </c>
      <c r="B396" s="572"/>
      <c r="C396" s="697">
        <v>48.15</v>
      </c>
      <c r="D396" s="464">
        <v>12723772</v>
      </c>
      <c r="E396" s="429"/>
      <c r="F396" s="2980" t="s">
        <v>2585</v>
      </c>
      <c r="G396" s="335"/>
      <c r="H396" s="697">
        <v>12</v>
      </c>
      <c r="I396" s="457">
        <v>32822371</v>
      </c>
      <c r="J396" s="423"/>
      <c r="K396" s="2443"/>
    </row>
    <row r="397" spans="1:11" ht="18" customHeight="1" x14ac:dyDescent="0.25">
      <c r="A397" s="2496" t="s">
        <v>2556</v>
      </c>
      <c r="B397" s="1384"/>
      <c r="C397" s="698">
        <v>76.599999999999994</v>
      </c>
      <c r="D397" s="464">
        <v>13360890</v>
      </c>
      <c r="E397" s="429"/>
      <c r="F397" s="2496" t="s">
        <v>2556</v>
      </c>
      <c r="G397" s="1384"/>
      <c r="H397" s="698">
        <v>45.17</v>
      </c>
      <c r="I397" s="457">
        <v>32839451</v>
      </c>
      <c r="J397" s="423"/>
      <c r="K397" s="2443"/>
    </row>
    <row r="398" spans="1:11" ht="18" customHeight="1" x14ac:dyDescent="0.25">
      <c r="A398" s="493" t="s">
        <v>1790</v>
      </c>
      <c r="B398" s="566"/>
      <c r="C398" s="698">
        <v>9.24</v>
      </c>
      <c r="D398" s="462">
        <v>13426144</v>
      </c>
      <c r="E398" s="429"/>
      <c r="F398" s="493" t="s">
        <v>1594</v>
      </c>
      <c r="G398" s="335" t="s">
        <v>40</v>
      </c>
      <c r="H398" s="698">
        <v>10.672000000000001</v>
      </c>
      <c r="I398" s="462">
        <v>32845240</v>
      </c>
      <c r="J398" s="423"/>
      <c r="K398" s="2443"/>
    </row>
    <row r="399" spans="1:11" ht="18" customHeight="1" x14ac:dyDescent="0.25">
      <c r="A399" s="2491" t="s">
        <v>1100</v>
      </c>
      <c r="B399" s="1364" t="s">
        <v>40</v>
      </c>
      <c r="C399" s="697">
        <v>4.99</v>
      </c>
      <c r="D399" s="457">
        <v>13573224</v>
      </c>
      <c r="E399" s="429"/>
      <c r="F399" s="494" t="s">
        <v>2346</v>
      </c>
      <c r="G399" s="1364" t="s">
        <v>40</v>
      </c>
      <c r="H399" s="697">
        <v>100.26</v>
      </c>
      <c r="I399" s="457">
        <v>32853387</v>
      </c>
      <c r="J399" s="423"/>
      <c r="K399" s="2443"/>
    </row>
    <row r="400" spans="1:11" ht="18" customHeight="1" x14ac:dyDescent="0.25">
      <c r="A400" s="1455" t="s">
        <v>1767</v>
      </c>
      <c r="B400" s="1397"/>
      <c r="C400" s="697">
        <v>3.2</v>
      </c>
      <c r="D400" s="457">
        <v>13573342</v>
      </c>
      <c r="E400" s="429"/>
      <c r="F400" s="1455" t="s">
        <v>2153</v>
      </c>
      <c r="G400" s="1395"/>
      <c r="H400" s="697">
        <v>693</v>
      </c>
      <c r="I400" s="457">
        <v>32853571</v>
      </c>
      <c r="J400" s="423"/>
      <c r="K400" s="2443"/>
    </row>
    <row r="401" spans="1:11" ht="18" customHeight="1" x14ac:dyDescent="0.25">
      <c r="A401" s="500" t="s">
        <v>921</v>
      </c>
      <c r="B401" s="2480"/>
      <c r="C401" s="697">
        <v>7.4</v>
      </c>
      <c r="D401" s="439">
        <v>13578509</v>
      </c>
      <c r="E401" s="429"/>
      <c r="F401" s="500" t="s">
        <v>1711</v>
      </c>
      <c r="G401" s="569" t="s">
        <v>40</v>
      </c>
      <c r="H401" s="697">
        <v>3.718</v>
      </c>
      <c r="I401" s="439">
        <v>32856525</v>
      </c>
      <c r="J401" s="423"/>
      <c r="K401" s="2443"/>
    </row>
    <row r="402" spans="1:11" ht="18" customHeight="1" x14ac:dyDescent="0.25">
      <c r="A402" s="2981" t="s">
        <v>2190</v>
      </c>
      <c r="B402" s="335" t="s">
        <v>40</v>
      </c>
      <c r="C402" s="697">
        <v>5</v>
      </c>
      <c r="D402" s="464">
        <v>13578509</v>
      </c>
      <c r="E402" s="429"/>
      <c r="F402" s="2981" t="s">
        <v>2152</v>
      </c>
      <c r="G402" s="335" t="s">
        <v>40</v>
      </c>
      <c r="H402" s="697">
        <v>6</v>
      </c>
      <c r="I402" s="464">
        <v>32858526</v>
      </c>
      <c r="J402" s="423"/>
      <c r="K402" s="2443"/>
    </row>
    <row r="403" spans="1:11" ht="18" customHeight="1" x14ac:dyDescent="0.25">
      <c r="A403" s="2983" t="s">
        <v>2217</v>
      </c>
      <c r="B403" s="335"/>
      <c r="C403" s="698">
        <v>40.99</v>
      </c>
      <c r="D403" s="456">
        <v>14204406</v>
      </c>
      <c r="E403" s="429"/>
      <c r="F403" s="493" t="s">
        <v>1959</v>
      </c>
      <c r="G403" s="573"/>
      <c r="H403" s="698">
        <v>1.37</v>
      </c>
      <c r="I403" s="441">
        <v>32865169</v>
      </c>
      <c r="J403" s="423"/>
      <c r="K403" s="2443"/>
    </row>
    <row r="404" spans="1:11" ht="18" customHeight="1" x14ac:dyDescent="0.25">
      <c r="A404" s="2994" t="s">
        <v>2134</v>
      </c>
      <c r="B404" s="585"/>
      <c r="C404" s="698">
        <v>26.11</v>
      </c>
      <c r="D404" s="454">
        <v>14783110</v>
      </c>
      <c r="E404" s="429"/>
      <c r="F404" s="1777" t="s">
        <v>1756</v>
      </c>
      <c r="G404" s="585" t="s">
        <v>40</v>
      </c>
      <c r="H404" s="698">
        <v>18.940000000000001</v>
      </c>
      <c r="I404" s="454">
        <v>32869171</v>
      </c>
      <c r="J404" s="423"/>
      <c r="K404" s="2443"/>
    </row>
    <row r="405" spans="1:11" ht="18" customHeight="1" x14ac:dyDescent="0.25">
      <c r="A405" s="2995" t="s">
        <v>2152</v>
      </c>
      <c r="B405" s="335" t="s">
        <v>40</v>
      </c>
      <c r="C405" s="697">
        <v>15</v>
      </c>
      <c r="D405" s="439">
        <v>14839845</v>
      </c>
      <c r="E405" s="429"/>
      <c r="F405" s="2995" t="s">
        <v>2636</v>
      </c>
      <c r="G405" s="335" t="s">
        <v>40</v>
      </c>
      <c r="H405" s="697">
        <v>7.3</v>
      </c>
      <c r="I405" s="455">
        <v>32869966</v>
      </c>
      <c r="J405" s="423"/>
      <c r="K405" s="2443"/>
    </row>
    <row r="406" spans="1:11" ht="18" customHeight="1" x14ac:dyDescent="0.25">
      <c r="A406" s="493" t="s">
        <v>2346</v>
      </c>
      <c r="B406" s="571" t="s">
        <v>40</v>
      </c>
      <c r="C406" s="697">
        <v>201.89</v>
      </c>
      <c r="D406" s="455">
        <v>14847135</v>
      </c>
      <c r="E406" s="429"/>
      <c r="F406" s="493" t="s">
        <v>2625</v>
      </c>
      <c r="G406" s="571" t="s">
        <v>40</v>
      </c>
      <c r="H406" s="659">
        <v>7.42</v>
      </c>
      <c r="I406" s="439">
        <v>32876091</v>
      </c>
      <c r="J406" s="423"/>
      <c r="K406" s="2443"/>
    </row>
    <row r="407" spans="1:11" ht="18" customHeight="1" x14ac:dyDescent="0.25">
      <c r="A407" s="524" t="s">
        <v>1102</v>
      </c>
      <c r="B407" s="335" t="s">
        <v>40</v>
      </c>
      <c r="C407" s="697">
        <v>14</v>
      </c>
      <c r="D407" s="439">
        <v>14957909</v>
      </c>
      <c r="E407" s="429"/>
      <c r="F407" s="2493" t="s">
        <v>2134</v>
      </c>
      <c r="G407" s="335"/>
      <c r="H407" s="697">
        <v>25.7</v>
      </c>
      <c r="I407" s="455">
        <v>32880745</v>
      </c>
      <c r="J407" s="423"/>
      <c r="K407" s="2443"/>
    </row>
    <row r="408" spans="1:11" ht="18" customHeight="1" x14ac:dyDescent="0.25">
      <c r="A408" s="1390" t="s">
        <v>1768</v>
      </c>
      <c r="B408" s="573"/>
      <c r="C408" s="697">
        <v>3</v>
      </c>
      <c r="D408" s="1793">
        <v>14978495</v>
      </c>
      <c r="E408" s="429"/>
      <c r="F408" s="2975" t="s">
        <v>2487</v>
      </c>
      <c r="G408" s="563"/>
      <c r="H408" s="697">
        <v>0.98199999999999998</v>
      </c>
      <c r="I408" s="1792">
        <v>32880975</v>
      </c>
      <c r="J408" s="423"/>
      <c r="K408" s="2443"/>
    </row>
    <row r="409" spans="1:11" ht="18" customHeight="1" x14ac:dyDescent="0.25">
      <c r="A409" s="1755" t="s">
        <v>2219</v>
      </c>
      <c r="B409" s="335"/>
      <c r="C409" s="697">
        <v>508.2</v>
      </c>
      <c r="D409" s="439">
        <v>15041919</v>
      </c>
      <c r="E409" s="429"/>
      <c r="F409" s="555" t="s">
        <v>503</v>
      </c>
      <c r="G409" s="580"/>
      <c r="H409" s="697"/>
      <c r="I409" s="455">
        <v>32894902</v>
      </c>
      <c r="J409" s="423"/>
      <c r="K409" s="2443"/>
    </row>
    <row r="410" spans="1:11" ht="18" customHeight="1" x14ac:dyDescent="0.25">
      <c r="A410" s="510" t="s">
        <v>1756</v>
      </c>
      <c r="B410" s="579" t="s">
        <v>40</v>
      </c>
      <c r="C410" s="697">
        <v>29.64</v>
      </c>
      <c r="D410" s="455">
        <v>15065143</v>
      </c>
      <c r="E410" s="429"/>
      <c r="F410" s="510" t="s">
        <v>578</v>
      </c>
      <c r="G410" s="579" t="s">
        <v>40</v>
      </c>
      <c r="H410" s="697">
        <v>64.84</v>
      </c>
      <c r="I410" s="439">
        <v>32894948</v>
      </c>
      <c r="J410" s="423"/>
      <c r="K410" s="2443"/>
    </row>
    <row r="411" spans="1:11" ht="18" customHeight="1" x14ac:dyDescent="0.25">
      <c r="A411" s="2981" t="s">
        <v>2626</v>
      </c>
      <c r="B411" s="573"/>
      <c r="C411" s="698">
        <v>5.4379999999999997</v>
      </c>
      <c r="D411" s="457">
        <v>15379504</v>
      </c>
      <c r="E411" s="429"/>
      <c r="F411" s="511" t="s">
        <v>1767</v>
      </c>
      <c r="G411" s="573"/>
      <c r="H411" s="698">
        <v>6.3</v>
      </c>
      <c r="I411" s="457">
        <v>32895018</v>
      </c>
      <c r="J411" s="423"/>
      <c r="K411" s="2443"/>
    </row>
    <row r="412" spans="1:11" ht="18" customHeight="1" x14ac:dyDescent="0.25">
      <c r="A412" s="2981" t="s">
        <v>2636</v>
      </c>
      <c r="B412" s="335" t="s">
        <v>40</v>
      </c>
      <c r="C412" s="697">
        <v>22.05</v>
      </c>
      <c r="D412" s="455">
        <v>15621342</v>
      </c>
      <c r="E412" s="429"/>
      <c r="F412" s="2981" t="s">
        <v>2626</v>
      </c>
      <c r="G412" s="573"/>
      <c r="H412" s="697">
        <v>3.379</v>
      </c>
      <c r="I412" s="455">
        <v>32895068</v>
      </c>
      <c r="J412" s="423"/>
      <c r="K412" s="2443"/>
    </row>
    <row r="413" spans="1:11" ht="18" customHeight="1" x14ac:dyDescent="0.25">
      <c r="A413" s="497" t="s">
        <v>1711</v>
      </c>
      <c r="B413" s="590" t="s">
        <v>40</v>
      </c>
      <c r="C413" s="697">
        <v>10.36</v>
      </c>
      <c r="D413" s="439">
        <v>16024208</v>
      </c>
      <c r="E413" s="429"/>
      <c r="F413" s="497" t="s">
        <v>1768</v>
      </c>
      <c r="G413" s="574"/>
      <c r="H413" s="697">
        <v>2</v>
      </c>
      <c r="I413" s="439">
        <v>32941649</v>
      </c>
      <c r="J413" s="423"/>
      <c r="K413" s="2443"/>
    </row>
    <row r="414" spans="1:11" ht="18" customHeight="1" x14ac:dyDescent="0.25">
      <c r="A414" s="497" t="s">
        <v>1759</v>
      </c>
      <c r="B414" s="591"/>
      <c r="C414" s="697">
        <v>35</v>
      </c>
      <c r="D414" s="443">
        <v>16150650</v>
      </c>
      <c r="E414" s="429"/>
      <c r="F414" s="497" t="s">
        <v>2026</v>
      </c>
      <c r="G414" s="641"/>
      <c r="H414" s="697">
        <v>13.3</v>
      </c>
      <c r="I414" s="443">
        <v>32949575</v>
      </c>
      <c r="J414" s="423"/>
      <c r="K414" s="2443"/>
    </row>
    <row r="415" spans="1:11" ht="18" customHeight="1" x14ac:dyDescent="0.25">
      <c r="A415" s="511" t="s">
        <v>1959</v>
      </c>
      <c r="B415" s="626"/>
      <c r="C415" s="697">
        <v>2.4300000000000002</v>
      </c>
      <c r="D415" s="439">
        <v>18173825</v>
      </c>
      <c r="E415" s="429"/>
      <c r="F415" s="2981" t="s">
        <v>1100</v>
      </c>
      <c r="G415" s="585" t="s">
        <v>40</v>
      </c>
      <c r="H415" s="697">
        <v>8.9</v>
      </c>
      <c r="I415" s="455">
        <v>32983876</v>
      </c>
      <c r="J415" s="423"/>
      <c r="K415" s="2443"/>
    </row>
    <row r="416" spans="1:11" ht="18" customHeight="1" x14ac:dyDescent="0.25">
      <c r="A416" s="493" t="s">
        <v>2625</v>
      </c>
      <c r="B416" s="601" t="s">
        <v>40</v>
      </c>
      <c r="C416" s="659">
        <v>7.64</v>
      </c>
      <c r="D416" s="439">
        <v>18661547</v>
      </c>
      <c r="E416" s="429"/>
      <c r="F416" s="493" t="s">
        <v>1759</v>
      </c>
      <c r="G416" s="576"/>
      <c r="H416" s="697">
        <v>17</v>
      </c>
      <c r="I416" s="439">
        <v>33029393</v>
      </c>
      <c r="J416" s="423"/>
      <c r="K416" s="2443"/>
    </row>
    <row r="417" spans="1:11" ht="18" customHeight="1" x14ac:dyDescent="0.25">
      <c r="A417" s="518" t="s">
        <v>503</v>
      </c>
      <c r="B417" s="2069"/>
      <c r="C417" s="697"/>
      <c r="D417" s="455">
        <v>26863726</v>
      </c>
      <c r="E417" s="429"/>
      <c r="F417" s="524" t="s">
        <v>1102</v>
      </c>
      <c r="G417" s="592" t="s">
        <v>40</v>
      </c>
      <c r="H417" s="697">
        <v>6</v>
      </c>
      <c r="I417" s="439">
        <v>33163588</v>
      </c>
      <c r="J417" s="423"/>
      <c r="K417" s="2443"/>
    </row>
    <row r="418" spans="1:11" ht="18" customHeight="1" x14ac:dyDescent="0.25">
      <c r="A418" s="1457" t="s">
        <v>2344</v>
      </c>
      <c r="B418" s="592"/>
      <c r="C418" s="697"/>
      <c r="D418" s="463" t="s">
        <v>482</v>
      </c>
      <c r="E418" s="429"/>
      <c r="F418" s="2199" t="s">
        <v>2219</v>
      </c>
      <c r="G418" s="592"/>
      <c r="H418" s="697">
        <v>158.47</v>
      </c>
      <c r="I418" s="439">
        <v>33278660</v>
      </c>
      <c r="J418" s="423"/>
      <c r="K418" s="2443"/>
    </row>
    <row r="419" spans="1:11" ht="18" customHeight="1" x14ac:dyDescent="0.25">
      <c r="A419" s="2447" t="s">
        <v>2145</v>
      </c>
      <c r="B419" s="335"/>
      <c r="C419" s="697"/>
      <c r="D419" s="463"/>
      <c r="E419" s="429"/>
      <c r="F419" s="2447" t="s">
        <v>2145</v>
      </c>
      <c r="G419" s="335"/>
      <c r="H419" s="697">
        <v>878.2</v>
      </c>
      <c r="I419" s="463">
        <v>81667923</v>
      </c>
      <c r="J419" s="423"/>
      <c r="K419" s="2443"/>
    </row>
    <row r="420" spans="1:11" ht="18" customHeight="1" x14ac:dyDescent="0.25">
      <c r="A420" s="2465" t="s">
        <v>2148</v>
      </c>
      <c r="B420" s="601"/>
      <c r="C420" s="697"/>
      <c r="D420" s="460"/>
      <c r="E420" s="429"/>
      <c r="F420" s="2465" t="s">
        <v>2148</v>
      </c>
      <c r="G420" s="601"/>
      <c r="H420" s="697">
        <v>79</v>
      </c>
      <c r="I420" s="460">
        <v>99049432</v>
      </c>
      <c r="J420" s="423"/>
      <c r="K420" s="2443"/>
    </row>
    <row r="421" spans="1:11" ht="18" customHeight="1" x14ac:dyDescent="0.25">
      <c r="A421" s="2441" t="s">
        <v>2146</v>
      </c>
      <c r="B421" s="594"/>
      <c r="C421" s="697"/>
      <c r="D421" s="463"/>
      <c r="E421" s="429"/>
      <c r="F421" s="2441" t="s">
        <v>2146</v>
      </c>
      <c r="G421" s="594"/>
      <c r="H421" s="697">
        <v>24</v>
      </c>
      <c r="I421" s="463">
        <v>130381659</v>
      </c>
      <c r="J421" s="423"/>
      <c r="K421" s="2443"/>
    </row>
    <row r="422" spans="1:11" ht="18" customHeight="1" x14ac:dyDescent="0.25">
      <c r="A422" s="2466" t="s">
        <v>2147</v>
      </c>
      <c r="B422" s="1462"/>
      <c r="C422" s="697"/>
      <c r="D422" s="1464"/>
      <c r="E422" s="429"/>
      <c r="F422" s="2466" t="s">
        <v>2147</v>
      </c>
      <c r="G422" s="1462"/>
      <c r="H422" s="697">
        <v>18</v>
      </c>
      <c r="I422" s="1464">
        <v>141995568</v>
      </c>
      <c r="J422" s="423"/>
      <c r="K422" s="2443"/>
    </row>
    <row r="423" spans="1:11" ht="18" customHeight="1" x14ac:dyDescent="0.25">
      <c r="A423" s="525"/>
      <c r="B423" s="575"/>
      <c r="C423" s="677"/>
      <c r="D423" s="177"/>
      <c r="E423" s="429"/>
      <c r="F423" s="2463"/>
      <c r="G423" s="575"/>
      <c r="H423" s="719"/>
      <c r="I423" s="229"/>
      <c r="J423" s="423"/>
      <c r="K423" s="2443"/>
    </row>
    <row r="424" spans="1:11" ht="18" customHeight="1" x14ac:dyDescent="0.25">
      <c r="A424" s="525"/>
      <c r="B424" s="575"/>
      <c r="C424" s="677"/>
      <c r="D424" s="177"/>
      <c r="E424" s="429"/>
      <c r="F424" s="2463"/>
      <c r="G424" s="575"/>
      <c r="H424" s="719"/>
      <c r="I424" s="229"/>
      <c r="J424" s="423"/>
      <c r="K424" s="2443"/>
    </row>
    <row r="425" spans="1:11" ht="18" customHeight="1" x14ac:dyDescent="0.25">
      <c r="A425" s="525"/>
      <c r="B425" s="449"/>
      <c r="C425" s="673"/>
      <c r="D425" s="449"/>
      <c r="E425" s="429"/>
      <c r="F425" s="525"/>
      <c r="G425" s="449"/>
      <c r="H425" s="669"/>
      <c r="I425" s="177"/>
      <c r="J425" s="423"/>
      <c r="K425" s="2443"/>
    </row>
    <row r="426" spans="1:11" ht="24" customHeight="1" x14ac:dyDescent="0.25">
      <c r="A426" s="1624" t="s">
        <v>2341</v>
      </c>
      <c r="B426" s="581"/>
      <c r="C426" s="2430" t="s">
        <v>480</v>
      </c>
      <c r="D426" s="435" t="s">
        <v>1118</v>
      </c>
      <c r="E426" s="429"/>
      <c r="F426" s="2437" t="s">
        <v>2334</v>
      </c>
      <c r="G426" s="564"/>
      <c r="H426" s="2430" t="s">
        <v>480</v>
      </c>
      <c r="I426" s="435" t="s">
        <v>1119</v>
      </c>
      <c r="J426" s="423"/>
      <c r="K426" s="2443"/>
    </row>
    <row r="427" spans="1:11" ht="18" customHeight="1" x14ac:dyDescent="0.25">
      <c r="A427" s="523" t="s">
        <v>2621</v>
      </c>
      <c r="B427" s="596"/>
      <c r="C427" s="717">
        <v>1515.1</v>
      </c>
      <c r="D427" s="482">
        <v>34225482</v>
      </c>
      <c r="E427" s="429"/>
      <c r="F427" s="2968" t="s">
        <v>2629</v>
      </c>
      <c r="G427" s="596"/>
      <c r="H427" s="670">
        <v>430</v>
      </c>
      <c r="I427" s="458">
        <v>15577402</v>
      </c>
      <c r="J427" s="429"/>
      <c r="K427" s="2443"/>
    </row>
    <row r="428" spans="1:11" ht="18" customHeight="1" x14ac:dyDescent="0.25">
      <c r="A428" s="523" t="s">
        <v>2469</v>
      </c>
      <c r="B428" s="1687" t="s">
        <v>40</v>
      </c>
      <c r="C428" s="697">
        <v>10001.64</v>
      </c>
      <c r="D428" s="455">
        <v>35452394</v>
      </c>
      <c r="E428" s="429"/>
      <c r="F428" s="2991" t="s">
        <v>2621</v>
      </c>
      <c r="G428" s="582"/>
      <c r="H428" s="658">
        <v>4812.3999999999996</v>
      </c>
      <c r="I428" s="1792">
        <v>15560423</v>
      </c>
      <c r="J428" s="429"/>
      <c r="K428" s="2443"/>
    </row>
    <row r="429" spans="1:11" ht="18" customHeight="1" x14ac:dyDescent="0.25">
      <c r="A429" s="4745" t="s">
        <v>2792</v>
      </c>
      <c r="B429" s="3289" t="s">
        <v>40</v>
      </c>
      <c r="C429" s="698">
        <v>9881.7999999999993</v>
      </c>
      <c r="D429" s="3019">
        <v>35689565</v>
      </c>
      <c r="E429" s="429"/>
      <c r="F429" s="3038" t="s">
        <v>2630</v>
      </c>
      <c r="G429" s="3084"/>
      <c r="H429" s="657">
        <v>452.9</v>
      </c>
      <c r="I429" s="3016">
        <v>15577402</v>
      </c>
      <c r="J429" s="429"/>
      <c r="K429" s="2443"/>
    </row>
    <row r="430" spans="1:11" ht="18" customHeight="1" x14ac:dyDescent="0.25">
      <c r="A430" s="3286" t="s">
        <v>2478</v>
      </c>
      <c r="B430" s="4737" t="s">
        <v>40</v>
      </c>
      <c r="C430" s="3189">
        <v>9669.9599999999991</v>
      </c>
      <c r="D430" s="3195">
        <v>35709547</v>
      </c>
      <c r="E430" s="429"/>
      <c r="F430" s="3286" t="s">
        <v>2631</v>
      </c>
      <c r="G430" s="3194"/>
      <c r="H430" s="3191">
        <v>272.60000000000002</v>
      </c>
      <c r="I430" s="3195">
        <v>15593110</v>
      </c>
      <c r="J430" s="429"/>
      <c r="K430" s="2443"/>
    </row>
    <row r="431" spans="1:11" ht="18" customHeight="1" x14ac:dyDescent="0.25">
      <c r="A431" s="2957" t="s">
        <v>2630</v>
      </c>
      <c r="B431" s="3015"/>
      <c r="C431" s="698">
        <v>2369.6</v>
      </c>
      <c r="D431" s="3016">
        <v>35983805</v>
      </c>
      <c r="E431" s="429"/>
      <c r="F431" s="2957" t="s">
        <v>2632</v>
      </c>
      <c r="G431" s="3015"/>
      <c r="H431" s="657">
        <v>293.8</v>
      </c>
      <c r="I431" s="3016">
        <v>15593696</v>
      </c>
      <c r="J431" s="429"/>
      <c r="K431" s="2443"/>
    </row>
    <row r="432" spans="1:11" ht="18" customHeight="1" x14ac:dyDescent="0.25">
      <c r="A432" s="2957" t="s">
        <v>2629</v>
      </c>
      <c r="B432" s="3015"/>
      <c r="C432" s="698">
        <v>2114.3000000000002</v>
      </c>
      <c r="D432" s="3016">
        <v>36001073</v>
      </c>
      <c r="E432" s="429"/>
      <c r="F432" s="4748" t="s">
        <v>2792</v>
      </c>
      <c r="G432" s="4732" t="s">
        <v>40</v>
      </c>
      <c r="H432" s="657">
        <v>2436.9</v>
      </c>
      <c r="I432" s="3016">
        <v>15602934</v>
      </c>
      <c r="J432" s="429"/>
      <c r="K432" s="2443"/>
    </row>
    <row r="433" spans="1:11" ht="18" customHeight="1" x14ac:dyDescent="0.25">
      <c r="A433" s="4754" t="s">
        <v>2495</v>
      </c>
      <c r="B433" s="335" t="s">
        <v>40</v>
      </c>
      <c r="C433" s="697">
        <v>968.71</v>
      </c>
      <c r="D433" s="455">
        <v>36484748</v>
      </c>
      <c r="E433" s="429"/>
      <c r="F433" s="1488" t="s">
        <v>2478</v>
      </c>
      <c r="G433" s="4740" t="s">
        <v>40</v>
      </c>
      <c r="H433" s="657">
        <v>2341.29</v>
      </c>
      <c r="I433" s="1792">
        <v>15604551</v>
      </c>
      <c r="J433" s="429"/>
      <c r="K433" s="2443"/>
    </row>
    <row r="434" spans="1:11" ht="18" customHeight="1" x14ac:dyDescent="0.25">
      <c r="A434" s="2437" t="s">
        <v>2482</v>
      </c>
      <c r="B434" s="2043" t="s">
        <v>40</v>
      </c>
      <c r="C434" s="697">
        <v>10218.42</v>
      </c>
      <c r="D434" s="1792">
        <v>36677188</v>
      </c>
      <c r="E434" s="429"/>
      <c r="F434" s="4657" t="s">
        <v>2495</v>
      </c>
      <c r="G434" s="2043" t="s">
        <v>40</v>
      </c>
      <c r="H434" s="658">
        <v>234.37</v>
      </c>
      <c r="I434" s="1792">
        <v>15608110</v>
      </c>
      <c r="J434" s="429"/>
      <c r="K434" s="2443"/>
    </row>
    <row r="435" spans="1:11" ht="18" customHeight="1" x14ac:dyDescent="0.25">
      <c r="A435" s="1375" t="s">
        <v>2483</v>
      </c>
      <c r="B435" s="1835" t="s">
        <v>40</v>
      </c>
      <c r="C435" s="697">
        <v>8379.9699999999993</v>
      </c>
      <c r="D435" s="1793">
        <v>36688720</v>
      </c>
      <c r="E435" s="429"/>
      <c r="F435" s="1375" t="s">
        <v>2634</v>
      </c>
      <c r="G435" s="1835"/>
      <c r="H435" s="658">
        <v>286.8</v>
      </c>
      <c r="I435" s="1792">
        <v>15615916</v>
      </c>
      <c r="J435" s="429"/>
      <c r="K435" s="2443"/>
    </row>
    <row r="436" spans="1:11" ht="18" customHeight="1" x14ac:dyDescent="0.25">
      <c r="A436" s="4753" t="s">
        <v>2050</v>
      </c>
      <c r="B436" s="3188"/>
      <c r="C436" s="697">
        <v>1</v>
      </c>
      <c r="D436" s="1791">
        <v>36705568</v>
      </c>
      <c r="E436" s="429"/>
      <c r="F436" s="2976" t="s">
        <v>2469</v>
      </c>
      <c r="G436" s="4740" t="s">
        <v>40</v>
      </c>
      <c r="H436" s="658">
        <v>2395.77</v>
      </c>
      <c r="I436" s="1792">
        <v>15618140</v>
      </c>
      <c r="J436" s="429"/>
      <c r="K436" s="2443"/>
    </row>
    <row r="437" spans="1:11" ht="18" customHeight="1" x14ac:dyDescent="0.25">
      <c r="A437" s="3081" t="s">
        <v>2344</v>
      </c>
      <c r="B437" s="2395"/>
      <c r="C437" s="697">
        <v>11.23</v>
      </c>
      <c r="D437" s="1793">
        <v>37089885</v>
      </c>
      <c r="E437" s="429"/>
      <c r="F437" s="3083" t="s">
        <v>2344</v>
      </c>
      <c r="G437" s="575"/>
      <c r="H437" s="658">
        <v>4</v>
      </c>
      <c r="I437" s="1792">
        <v>15748459</v>
      </c>
      <c r="J437" s="429"/>
      <c r="K437" s="2443"/>
    </row>
    <row r="438" spans="1:11" ht="18" customHeight="1" x14ac:dyDescent="0.25">
      <c r="A438" s="1488" t="s">
        <v>2631</v>
      </c>
      <c r="B438" s="1803"/>
      <c r="C438" s="697">
        <v>2027.1</v>
      </c>
      <c r="D438" s="1792">
        <v>37169001</v>
      </c>
      <c r="E438" s="429"/>
      <c r="F438" s="4632" t="s">
        <v>2190</v>
      </c>
      <c r="G438" s="335" t="s">
        <v>40</v>
      </c>
      <c r="H438" s="658">
        <v>11.297000000000001</v>
      </c>
      <c r="I438" s="1754">
        <v>15841790</v>
      </c>
      <c r="J438" s="429"/>
      <c r="K438" s="2443"/>
    </row>
    <row r="439" spans="1:11" ht="18" customHeight="1" x14ac:dyDescent="0.25">
      <c r="A439" s="2957" t="s">
        <v>2632</v>
      </c>
      <c r="B439" s="1790"/>
      <c r="C439" s="697">
        <v>1452.1</v>
      </c>
      <c r="D439" s="1792">
        <v>37185278</v>
      </c>
      <c r="E439" s="429"/>
      <c r="F439" s="1691" t="s">
        <v>921</v>
      </c>
      <c r="G439" s="580"/>
      <c r="H439" s="658">
        <v>8.5</v>
      </c>
      <c r="I439" s="438">
        <v>15841790</v>
      </c>
      <c r="J439" s="429"/>
      <c r="K439" s="2443"/>
    </row>
    <row r="440" spans="1:11" ht="18" customHeight="1" x14ac:dyDescent="0.25">
      <c r="A440" s="1390" t="s">
        <v>2634</v>
      </c>
      <c r="B440" s="1803"/>
      <c r="C440" s="697">
        <v>1382.2</v>
      </c>
      <c r="D440" s="1792">
        <v>37239249</v>
      </c>
      <c r="E440" s="429"/>
      <c r="F440" s="1390" t="s">
        <v>1792</v>
      </c>
      <c r="G440" s="3085"/>
      <c r="H440" s="658">
        <v>27.79</v>
      </c>
      <c r="I440" s="1792">
        <v>15855101</v>
      </c>
      <c r="J440" s="429"/>
      <c r="K440" s="2443"/>
    </row>
    <row r="441" spans="1:11" ht="18" customHeight="1" x14ac:dyDescent="0.25">
      <c r="A441" s="3299" t="s">
        <v>2327</v>
      </c>
      <c r="B441" s="1790"/>
      <c r="C441" s="659"/>
      <c r="D441" s="1793">
        <v>37429223</v>
      </c>
      <c r="E441" s="429"/>
      <c r="F441" s="2323" t="s">
        <v>2623</v>
      </c>
      <c r="G441" s="1790"/>
      <c r="H441" s="658">
        <v>255.7</v>
      </c>
      <c r="I441" s="1792">
        <v>15880558</v>
      </c>
      <c r="J441" s="429"/>
      <c r="K441" s="2443"/>
    </row>
    <row r="442" spans="1:11" ht="18" customHeight="1" x14ac:dyDescent="0.25">
      <c r="A442" s="2974" t="s">
        <v>2487</v>
      </c>
      <c r="B442" s="2043"/>
      <c r="C442" s="697">
        <v>10.9</v>
      </c>
      <c r="D442" s="1793">
        <v>37669230</v>
      </c>
      <c r="E442" s="429"/>
      <c r="F442" s="1688" t="s">
        <v>2002</v>
      </c>
      <c r="G442" s="2043" t="s">
        <v>40</v>
      </c>
      <c r="H442" s="658">
        <v>212.4</v>
      </c>
      <c r="I442" s="1792">
        <v>15882980</v>
      </c>
      <c r="J442" s="429"/>
      <c r="K442" s="2443"/>
    </row>
    <row r="443" spans="1:11" ht="18" customHeight="1" x14ac:dyDescent="0.25">
      <c r="A443" s="2796" t="s">
        <v>2002</v>
      </c>
      <c r="B443" s="2043" t="s">
        <v>40</v>
      </c>
      <c r="C443" s="697">
        <v>1287.08</v>
      </c>
      <c r="D443" s="1793">
        <v>37690429</v>
      </c>
      <c r="E443" s="429"/>
      <c r="F443" s="3248" t="s">
        <v>748</v>
      </c>
      <c r="G443" s="3250" t="s">
        <v>40</v>
      </c>
      <c r="H443" s="658">
        <v>236.72</v>
      </c>
      <c r="I443" s="1792">
        <v>15883097</v>
      </c>
      <c r="J443" s="429"/>
      <c r="K443" s="2443"/>
    </row>
    <row r="444" spans="1:11" ht="18" customHeight="1" x14ac:dyDescent="0.25">
      <c r="A444" s="1390" t="s">
        <v>748</v>
      </c>
      <c r="B444" s="2043" t="s">
        <v>40</v>
      </c>
      <c r="C444" s="697">
        <v>1249.54</v>
      </c>
      <c r="D444" s="1793">
        <v>37690429</v>
      </c>
      <c r="E444" s="429"/>
      <c r="F444" s="3286" t="s">
        <v>2479</v>
      </c>
      <c r="G444" s="3188" t="s">
        <v>40</v>
      </c>
      <c r="H444" s="658">
        <v>1515.37</v>
      </c>
      <c r="I444" s="1792">
        <v>15883654</v>
      </c>
      <c r="J444" s="429"/>
      <c r="K444" s="2443"/>
    </row>
    <row r="445" spans="1:11" ht="18" customHeight="1" x14ac:dyDescent="0.25">
      <c r="A445" s="2961" t="s">
        <v>2623</v>
      </c>
      <c r="B445" s="1752"/>
      <c r="C445" s="697">
        <v>1345.3</v>
      </c>
      <c r="D445" s="1753">
        <v>37724182</v>
      </c>
      <c r="E445" s="429"/>
      <c r="F445" s="1469" t="s">
        <v>2482</v>
      </c>
      <c r="G445" s="1790" t="s">
        <v>40</v>
      </c>
      <c r="H445" s="697">
        <v>1846.28</v>
      </c>
      <c r="I445" s="1792">
        <v>15893619</v>
      </c>
      <c r="J445" s="429"/>
      <c r="K445" s="2443"/>
    </row>
    <row r="446" spans="1:11" ht="18" customHeight="1" x14ac:dyDescent="0.25">
      <c r="A446" s="1765" t="s">
        <v>1826</v>
      </c>
      <c r="B446" s="1790" t="s">
        <v>40</v>
      </c>
      <c r="C446" s="698">
        <v>83.15</v>
      </c>
      <c r="D446" s="1793">
        <v>38314909</v>
      </c>
      <c r="E446" s="429"/>
      <c r="F446" s="493" t="s">
        <v>2483</v>
      </c>
      <c r="G446" s="585" t="s">
        <v>40</v>
      </c>
      <c r="H446" s="657">
        <v>1599.33</v>
      </c>
      <c r="I446" s="454">
        <v>15899207</v>
      </c>
      <c r="J446" s="429"/>
      <c r="K446" s="2443"/>
    </row>
    <row r="447" spans="1:11" ht="18" customHeight="1" x14ac:dyDescent="0.25">
      <c r="A447" s="493" t="s">
        <v>1833</v>
      </c>
      <c r="B447" s="1384" t="s">
        <v>40</v>
      </c>
      <c r="C447" s="697">
        <v>139.43</v>
      </c>
      <c r="D447" s="1792">
        <v>38373686</v>
      </c>
      <c r="E447" s="429"/>
      <c r="F447" s="1726" t="s">
        <v>1833</v>
      </c>
      <c r="G447" s="1752" t="s">
        <v>40</v>
      </c>
      <c r="H447" s="658">
        <v>43.615000000000002</v>
      </c>
      <c r="I447" s="1754">
        <v>15922799</v>
      </c>
      <c r="J447" s="429"/>
      <c r="K447" s="2443"/>
    </row>
    <row r="448" spans="1:11" ht="18" customHeight="1" x14ac:dyDescent="0.25">
      <c r="A448" s="493" t="s">
        <v>1790</v>
      </c>
      <c r="B448" s="1519"/>
      <c r="C448" s="698">
        <v>32.18</v>
      </c>
      <c r="D448" s="483">
        <v>40039168</v>
      </c>
      <c r="E448" s="429"/>
      <c r="F448" s="1488" t="s">
        <v>1101</v>
      </c>
      <c r="G448" s="626"/>
      <c r="H448" s="657">
        <v>125.9</v>
      </c>
      <c r="I448" s="454">
        <v>15956273</v>
      </c>
      <c r="J448" s="429"/>
      <c r="K448" s="2443"/>
    </row>
    <row r="449" spans="1:11" ht="18" customHeight="1" x14ac:dyDescent="0.25">
      <c r="A449" s="2918" t="s">
        <v>2219</v>
      </c>
      <c r="B449" s="335"/>
      <c r="C449" s="697">
        <v>3448.19</v>
      </c>
      <c r="D449" s="1753">
        <v>40315816</v>
      </c>
      <c r="E449" s="429"/>
      <c r="F449" s="2999" t="s">
        <v>2217</v>
      </c>
      <c r="G449" s="335"/>
      <c r="H449" s="657">
        <v>24.3</v>
      </c>
      <c r="I449" s="457">
        <v>15960442</v>
      </c>
      <c r="J449" s="429"/>
      <c r="K449" s="2443"/>
    </row>
    <row r="450" spans="1:11" ht="18" customHeight="1" x14ac:dyDescent="0.25">
      <c r="A450" s="523" t="s">
        <v>2556</v>
      </c>
      <c r="B450" s="563"/>
      <c r="C450" s="698">
        <v>188.36</v>
      </c>
      <c r="D450" s="457">
        <v>40333430</v>
      </c>
      <c r="E450" s="429"/>
      <c r="F450" s="1488" t="s">
        <v>575</v>
      </c>
      <c r="G450" s="1388"/>
      <c r="H450" s="658">
        <v>17</v>
      </c>
      <c r="I450" s="1566">
        <v>15960600</v>
      </c>
      <c r="J450" s="429"/>
      <c r="K450" s="2443"/>
    </row>
    <row r="451" spans="1:11" ht="18" customHeight="1" x14ac:dyDescent="0.25">
      <c r="A451" s="1688" t="s">
        <v>1101</v>
      </c>
      <c r="B451" s="573"/>
      <c r="C451" s="697">
        <v>472.85</v>
      </c>
      <c r="D451" s="464">
        <v>40850759</v>
      </c>
      <c r="E451" s="429"/>
      <c r="F451" s="1761" t="s">
        <v>1826</v>
      </c>
      <c r="G451" s="335" t="s">
        <v>40</v>
      </c>
      <c r="H451" s="658">
        <v>10.375999999999999</v>
      </c>
      <c r="I451" s="457">
        <v>15987822</v>
      </c>
      <c r="J451" s="429"/>
      <c r="K451" s="2443"/>
    </row>
    <row r="452" spans="1:11" ht="18" customHeight="1" x14ac:dyDescent="0.25">
      <c r="A452" s="1488" t="s">
        <v>578</v>
      </c>
      <c r="B452" s="1384" t="s">
        <v>40</v>
      </c>
      <c r="C452" s="697">
        <v>12.5</v>
      </c>
      <c r="D452" s="464">
        <v>41034426</v>
      </c>
      <c r="E452" s="429"/>
      <c r="F452" s="3055" t="s">
        <v>2134</v>
      </c>
      <c r="G452" s="1384"/>
      <c r="H452" s="658">
        <v>16.899999999999999</v>
      </c>
      <c r="I452" s="457">
        <v>15989059</v>
      </c>
      <c r="J452" s="429"/>
      <c r="K452" s="2443"/>
    </row>
    <row r="453" spans="1:11" ht="18" customHeight="1" x14ac:dyDescent="0.25">
      <c r="A453" s="2997" t="s">
        <v>2134</v>
      </c>
      <c r="B453" s="585"/>
      <c r="C453" s="698">
        <v>71.2</v>
      </c>
      <c r="D453" s="454">
        <v>41223821</v>
      </c>
      <c r="E453" s="427"/>
      <c r="F453" s="2491" t="s">
        <v>2585</v>
      </c>
      <c r="G453" s="585"/>
      <c r="H453" s="658">
        <v>6</v>
      </c>
      <c r="I453" s="457">
        <v>15991395</v>
      </c>
      <c r="J453" s="429"/>
      <c r="K453" s="2443"/>
    </row>
    <row r="454" spans="1:11" ht="18" customHeight="1" x14ac:dyDescent="0.25">
      <c r="A454" s="494" t="s">
        <v>1758</v>
      </c>
      <c r="B454" s="2046"/>
      <c r="C454" s="697">
        <v>153</v>
      </c>
      <c r="D454" s="464">
        <v>41257672</v>
      </c>
      <c r="E454" s="429"/>
      <c r="F454" s="2958" t="s">
        <v>2558</v>
      </c>
      <c r="G454" s="335"/>
      <c r="H454" s="658">
        <v>102.8</v>
      </c>
      <c r="I454" s="457">
        <v>15993356</v>
      </c>
      <c r="J454" s="429"/>
      <c r="K454" s="2443"/>
    </row>
    <row r="455" spans="1:11" ht="18" customHeight="1" x14ac:dyDescent="0.25">
      <c r="A455" s="516" t="s">
        <v>2558</v>
      </c>
      <c r="B455" s="585"/>
      <c r="C455" s="698">
        <v>663.1</v>
      </c>
      <c r="D455" s="483">
        <v>41334223</v>
      </c>
      <c r="E455" s="429"/>
      <c r="F455" s="1455" t="s">
        <v>1790</v>
      </c>
      <c r="G455" s="1519"/>
      <c r="H455" s="657">
        <v>7.5339999999999998</v>
      </c>
      <c r="I455" s="454">
        <v>15996848</v>
      </c>
      <c r="J455" s="429"/>
      <c r="K455" s="2443"/>
    </row>
    <row r="456" spans="1:11" ht="18" customHeight="1" x14ac:dyDescent="0.25">
      <c r="A456" s="1488" t="s">
        <v>2153</v>
      </c>
      <c r="B456" s="586"/>
      <c r="C456" s="698">
        <v>2237.2510000000002</v>
      </c>
      <c r="D456" s="454">
        <v>41373024</v>
      </c>
      <c r="E456" s="429"/>
      <c r="F456" s="498" t="s">
        <v>1793</v>
      </c>
      <c r="G456" s="587"/>
      <c r="H456" s="657">
        <v>9.25</v>
      </c>
      <c r="I456" s="438">
        <v>15998546</v>
      </c>
      <c r="J456" s="429"/>
      <c r="K456" s="2443"/>
    </row>
    <row r="457" spans="1:11" ht="18" customHeight="1" x14ac:dyDescent="0.25">
      <c r="A457" s="1387" t="s">
        <v>1711</v>
      </c>
      <c r="B457" s="335" t="s">
        <v>40</v>
      </c>
      <c r="C457" s="697">
        <v>7.7</v>
      </c>
      <c r="D457" s="464">
        <v>41380902</v>
      </c>
      <c r="E457" s="429"/>
      <c r="F457" s="495" t="s">
        <v>2346</v>
      </c>
      <c r="G457" s="585" t="s">
        <v>40</v>
      </c>
      <c r="H457" s="657">
        <v>57.3</v>
      </c>
      <c r="I457" s="442">
        <v>15999052</v>
      </c>
      <c r="J457" s="429"/>
      <c r="K457" s="2443"/>
    </row>
    <row r="458" spans="1:11" ht="18" customHeight="1" x14ac:dyDescent="0.25">
      <c r="A458" s="495" t="s">
        <v>1768</v>
      </c>
      <c r="B458" s="1386"/>
      <c r="C458" s="698">
        <v>5</v>
      </c>
      <c r="D458" s="464">
        <v>42481394</v>
      </c>
      <c r="E458" s="429"/>
      <c r="F458" s="495" t="s">
        <v>1594</v>
      </c>
      <c r="G458" s="1384" t="s">
        <v>40</v>
      </c>
      <c r="H458" s="657">
        <v>4.7</v>
      </c>
      <c r="I458" s="457">
        <v>16002388</v>
      </c>
      <c r="J458" s="429"/>
      <c r="K458" s="2443"/>
    </row>
    <row r="459" spans="1:11" ht="18" customHeight="1" x14ac:dyDescent="0.25">
      <c r="A459" s="493" t="s">
        <v>1594</v>
      </c>
      <c r="B459" s="335" t="s">
        <v>40</v>
      </c>
      <c r="C459" s="698">
        <v>14</v>
      </c>
      <c r="D459" s="462">
        <v>43110902</v>
      </c>
      <c r="E459" s="429"/>
      <c r="F459" s="497" t="s">
        <v>1758</v>
      </c>
      <c r="G459" s="1396"/>
      <c r="H459" s="658">
        <v>42.6</v>
      </c>
      <c r="I459" s="457">
        <v>16004224</v>
      </c>
      <c r="J459" s="429"/>
      <c r="K459" s="2443"/>
    </row>
    <row r="460" spans="1:11" ht="18" customHeight="1" x14ac:dyDescent="0.25">
      <c r="A460" s="2491" t="s">
        <v>2626</v>
      </c>
      <c r="B460" s="1397"/>
      <c r="C460" s="697">
        <v>9.8970000000000002</v>
      </c>
      <c r="D460" s="457">
        <v>43168617</v>
      </c>
      <c r="E460" s="429"/>
      <c r="F460" s="2498" t="s">
        <v>2152</v>
      </c>
      <c r="G460" s="1364" t="s">
        <v>40</v>
      </c>
      <c r="H460" s="659">
        <v>3</v>
      </c>
      <c r="I460" s="457">
        <v>16009061</v>
      </c>
      <c r="J460" s="429"/>
      <c r="K460" s="2443"/>
    </row>
    <row r="461" spans="1:11" ht="18" customHeight="1" x14ac:dyDescent="0.25">
      <c r="A461" s="3086" t="s">
        <v>2326</v>
      </c>
      <c r="B461" s="1364"/>
      <c r="C461" s="658"/>
      <c r="D461" s="457">
        <v>43256123</v>
      </c>
      <c r="E461" s="429"/>
      <c r="F461" s="499" t="s">
        <v>2153</v>
      </c>
      <c r="G461" s="1364"/>
      <c r="H461" s="659">
        <v>367</v>
      </c>
      <c r="I461" s="457">
        <v>16010448</v>
      </c>
      <c r="J461" s="429"/>
      <c r="K461" s="2443"/>
    </row>
    <row r="462" spans="1:11" ht="18" customHeight="1" x14ac:dyDescent="0.25">
      <c r="A462" s="2498" t="s">
        <v>2585</v>
      </c>
      <c r="B462" s="569"/>
      <c r="C462" s="697">
        <v>15</v>
      </c>
      <c r="D462" s="455">
        <v>43522808</v>
      </c>
      <c r="E462" s="429"/>
      <c r="F462" s="493" t="s">
        <v>1711</v>
      </c>
      <c r="G462" s="569" t="s">
        <v>40</v>
      </c>
      <c r="H462" s="658">
        <v>1.4379999999999999</v>
      </c>
      <c r="I462" s="455">
        <v>16011852</v>
      </c>
      <c r="J462" s="429"/>
      <c r="K462" s="2443"/>
    </row>
    <row r="463" spans="1:11" ht="18" customHeight="1" x14ac:dyDescent="0.25">
      <c r="A463" s="511" t="s">
        <v>1792</v>
      </c>
      <c r="B463" s="570"/>
      <c r="C463" s="697">
        <v>41.49</v>
      </c>
      <c r="D463" s="464">
        <v>43631205</v>
      </c>
      <c r="E463" s="429"/>
      <c r="F463" s="511" t="s">
        <v>1756</v>
      </c>
      <c r="G463" s="335" t="s">
        <v>40</v>
      </c>
      <c r="H463" s="659">
        <v>10.9</v>
      </c>
      <c r="I463" s="457">
        <v>16021582</v>
      </c>
      <c r="J463" s="429"/>
      <c r="K463" s="2443"/>
    </row>
    <row r="464" spans="1:11" ht="18" customHeight="1" x14ac:dyDescent="0.25">
      <c r="A464" s="2983" t="s">
        <v>2217</v>
      </c>
      <c r="B464" s="335"/>
      <c r="C464" s="698">
        <v>72.8</v>
      </c>
      <c r="D464" s="456">
        <v>43717791</v>
      </c>
      <c r="E464" s="429"/>
      <c r="F464" s="523" t="s">
        <v>2556</v>
      </c>
      <c r="G464" s="580"/>
      <c r="H464" s="657">
        <v>24.57</v>
      </c>
      <c r="I464" s="456">
        <v>16024613</v>
      </c>
      <c r="J464" s="429"/>
      <c r="K464" s="2443"/>
    </row>
    <row r="465" spans="1:11" ht="18" customHeight="1" x14ac:dyDescent="0.25">
      <c r="A465" s="1777" t="s">
        <v>575</v>
      </c>
      <c r="B465" s="586"/>
      <c r="C465" s="698">
        <v>67.7</v>
      </c>
      <c r="D465" s="454">
        <v>43738901</v>
      </c>
      <c r="E465" s="429"/>
      <c r="F465" s="495" t="s">
        <v>1959</v>
      </c>
      <c r="G465" s="573"/>
      <c r="H465" s="657">
        <v>0.79</v>
      </c>
      <c r="I465" s="454">
        <v>16026094</v>
      </c>
      <c r="J465" s="429"/>
      <c r="K465" s="2443"/>
    </row>
    <row r="466" spans="1:11" ht="18" customHeight="1" x14ac:dyDescent="0.25">
      <c r="A466" s="539" t="s">
        <v>1793</v>
      </c>
      <c r="B466" s="566"/>
      <c r="C466" s="697">
        <v>39.619999999999997</v>
      </c>
      <c r="D466" s="455">
        <v>43874649</v>
      </c>
      <c r="E466" s="429"/>
      <c r="F466" s="523" t="s">
        <v>2636</v>
      </c>
      <c r="G466" s="335" t="s">
        <v>40</v>
      </c>
      <c r="H466" s="658">
        <v>3.58</v>
      </c>
      <c r="I466" s="455">
        <v>16029683</v>
      </c>
      <c r="J466" s="429"/>
      <c r="K466" s="2443"/>
    </row>
    <row r="467" spans="1:11" ht="18" customHeight="1" x14ac:dyDescent="0.25">
      <c r="A467" s="493" t="s">
        <v>1756</v>
      </c>
      <c r="B467" s="571" t="s">
        <v>40</v>
      </c>
      <c r="C467" s="697">
        <v>78.23</v>
      </c>
      <c r="D467" s="455">
        <v>43934882</v>
      </c>
      <c r="E467" s="429"/>
      <c r="F467" s="493" t="s">
        <v>2625</v>
      </c>
      <c r="G467" s="571" t="s">
        <v>40</v>
      </c>
      <c r="H467" s="658">
        <v>3.72</v>
      </c>
      <c r="I467" s="455">
        <v>16036205</v>
      </c>
      <c r="J467" s="429"/>
      <c r="K467" s="2443"/>
    </row>
    <row r="468" spans="1:11" ht="18" customHeight="1" x14ac:dyDescent="0.25">
      <c r="A468" s="497" t="s">
        <v>1759</v>
      </c>
      <c r="B468" s="573"/>
      <c r="C468" s="697">
        <v>90</v>
      </c>
      <c r="D468" s="439">
        <v>44247454</v>
      </c>
      <c r="E468" s="429"/>
      <c r="F468" s="497" t="s">
        <v>578</v>
      </c>
      <c r="G468" s="335" t="s">
        <v>40</v>
      </c>
      <c r="H468" s="658">
        <v>3.7970000000000002</v>
      </c>
      <c r="I468" s="438">
        <v>16053306</v>
      </c>
      <c r="J468" s="429"/>
      <c r="K468" s="2443"/>
    </row>
    <row r="469" spans="1:11" ht="18" customHeight="1" x14ac:dyDescent="0.25">
      <c r="A469" s="523" t="s">
        <v>2152</v>
      </c>
      <c r="B469" s="335" t="s">
        <v>40</v>
      </c>
      <c r="C469" s="697">
        <v>31</v>
      </c>
      <c r="D469" s="1793">
        <v>44804066</v>
      </c>
      <c r="E469" s="429"/>
      <c r="F469" s="2975" t="s">
        <v>2626</v>
      </c>
      <c r="G469" s="573"/>
      <c r="H469" s="659">
        <v>1.7789999999999999</v>
      </c>
      <c r="I469" s="1793">
        <v>16055225</v>
      </c>
      <c r="J469" s="429"/>
      <c r="K469" s="2443"/>
    </row>
    <row r="470" spans="1:11" ht="18" customHeight="1" x14ac:dyDescent="0.25">
      <c r="A470" s="1437" t="s">
        <v>1102</v>
      </c>
      <c r="B470" s="335" t="s">
        <v>40</v>
      </c>
      <c r="C470" s="697">
        <v>27</v>
      </c>
      <c r="D470" s="439">
        <v>44821597</v>
      </c>
      <c r="E470" s="429"/>
      <c r="F470" s="510" t="s">
        <v>1768</v>
      </c>
      <c r="G470" s="573"/>
      <c r="H470" s="658">
        <v>1</v>
      </c>
      <c r="I470" s="438">
        <v>16062296</v>
      </c>
      <c r="J470" s="429"/>
      <c r="K470" s="2443"/>
    </row>
    <row r="471" spans="1:11" ht="18" customHeight="1" x14ac:dyDescent="0.25">
      <c r="A471" s="510" t="s">
        <v>2026</v>
      </c>
      <c r="B471" s="579"/>
      <c r="C471" s="697">
        <v>15.16</v>
      </c>
      <c r="D471" s="439">
        <v>45092778</v>
      </c>
      <c r="E471" s="427"/>
      <c r="F471" s="497" t="s">
        <v>1767</v>
      </c>
      <c r="G471" s="573"/>
      <c r="H471" s="682">
        <v>2.8</v>
      </c>
      <c r="I471" s="457">
        <v>16093244</v>
      </c>
      <c r="J471" s="429"/>
      <c r="K471" s="2443"/>
    </row>
    <row r="472" spans="1:11" ht="18" customHeight="1" x14ac:dyDescent="0.25">
      <c r="A472" s="511" t="s">
        <v>921</v>
      </c>
      <c r="B472" s="580"/>
      <c r="C472" s="698">
        <v>21.5</v>
      </c>
      <c r="D472" s="464">
        <v>45876023</v>
      </c>
      <c r="E472" s="429"/>
      <c r="F472" s="2313" t="s">
        <v>1100</v>
      </c>
      <c r="G472" s="335" t="s">
        <v>40</v>
      </c>
      <c r="H472" s="658">
        <v>5.9</v>
      </c>
      <c r="I472" s="438">
        <v>16095430</v>
      </c>
      <c r="J472" s="429"/>
      <c r="K472" s="2443"/>
    </row>
    <row r="473" spans="1:11" ht="18" customHeight="1" x14ac:dyDescent="0.25">
      <c r="A473" s="2981" t="s">
        <v>2190</v>
      </c>
      <c r="B473" s="335" t="s">
        <v>40</v>
      </c>
      <c r="C473" s="697">
        <v>16.079999999999998</v>
      </c>
      <c r="D473" s="439">
        <v>45876023</v>
      </c>
      <c r="E473" s="429"/>
      <c r="F473" s="497" t="s">
        <v>1759</v>
      </c>
      <c r="G473" s="574"/>
      <c r="H473" s="659">
        <v>10</v>
      </c>
      <c r="I473" s="239">
        <v>16110815</v>
      </c>
      <c r="J473" s="429"/>
      <c r="K473" s="2443"/>
    </row>
    <row r="474" spans="1:11" ht="18" customHeight="1" x14ac:dyDescent="0.25">
      <c r="A474" s="2313" t="s">
        <v>1100</v>
      </c>
      <c r="B474" s="590" t="s">
        <v>40</v>
      </c>
      <c r="C474" s="697">
        <v>17.68</v>
      </c>
      <c r="D474" s="455">
        <v>46877410</v>
      </c>
      <c r="E474" s="429"/>
      <c r="F474" s="500" t="s">
        <v>2026</v>
      </c>
      <c r="G474" s="335"/>
      <c r="H474" s="671">
        <v>3.9540000000000002</v>
      </c>
      <c r="I474" s="459">
        <v>16120986</v>
      </c>
      <c r="J474" s="429"/>
      <c r="K474" s="2443"/>
    </row>
    <row r="475" spans="1:11" ht="18" customHeight="1" x14ac:dyDescent="0.25">
      <c r="A475" s="497" t="s">
        <v>1767</v>
      </c>
      <c r="B475" s="591"/>
      <c r="C475" s="697">
        <v>10.18</v>
      </c>
      <c r="D475" s="239">
        <v>46877528</v>
      </c>
      <c r="E475" s="429"/>
      <c r="F475" s="1644" t="s">
        <v>1102</v>
      </c>
      <c r="G475" s="335" t="s">
        <v>40</v>
      </c>
      <c r="H475" s="658">
        <v>4</v>
      </c>
      <c r="I475" s="438">
        <v>16165696</v>
      </c>
      <c r="J475" s="429"/>
      <c r="K475" s="2443"/>
    </row>
    <row r="476" spans="1:11" ht="18" customHeight="1" x14ac:dyDescent="0.25">
      <c r="A476" s="511" t="s">
        <v>2346</v>
      </c>
      <c r="B476" s="585" t="s">
        <v>40</v>
      </c>
      <c r="C476" s="697">
        <v>729.3</v>
      </c>
      <c r="D476" s="455">
        <v>48779720</v>
      </c>
      <c r="E476" s="429"/>
      <c r="F476" s="518" t="s">
        <v>503</v>
      </c>
      <c r="G476" s="1456"/>
      <c r="H476" s="658"/>
      <c r="I476" s="438">
        <v>16182707</v>
      </c>
      <c r="J476" s="429"/>
      <c r="K476" s="2443"/>
    </row>
    <row r="477" spans="1:11" ht="18" customHeight="1" x14ac:dyDescent="0.25">
      <c r="A477" s="523" t="s">
        <v>2636</v>
      </c>
      <c r="B477" s="601" t="s">
        <v>40</v>
      </c>
      <c r="C477" s="697">
        <v>40</v>
      </c>
      <c r="D477" s="455">
        <v>53169902</v>
      </c>
      <c r="E477" s="429"/>
      <c r="F477" s="1762" t="s">
        <v>2219</v>
      </c>
      <c r="G477" s="638"/>
      <c r="H477" s="658">
        <v>70.8</v>
      </c>
      <c r="I477" s="438">
        <v>16227631</v>
      </c>
      <c r="J477" s="429"/>
      <c r="K477" s="2443"/>
    </row>
    <row r="478" spans="1:11" ht="18" customHeight="1" x14ac:dyDescent="0.25">
      <c r="A478" s="497" t="s">
        <v>1959</v>
      </c>
      <c r="B478" s="593"/>
      <c r="C478" s="697">
        <v>4.5</v>
      </c>
      <c r="D478" s="439">
        <v>57129786</v>
      </c>
      <c r="E478" s="429"/>
      <c r="F478" s="2441" t="s">
        <v>2050</v>
      </c>
      <c r="G478" s="601"/>
      <c r="H478" s="658">
        <v>2</v>
      </c>
      <c r="I478" s="453">
        <v>17996444</v>
      </c>
      <c r="J478" s="429"/>
      <c r="K478" s="2443"/>
    </row>
    <row r="479" spans="1:11" ht="18" customHeight="1" x14ac:dyDescent="0.25">
      <c r="A479" s="517" t="s">
        <v>503</v>
      </c>
      <c r="B479" s="2069"/>
      <c r="C479" s="697"/>
      <c r="D479" s="455">
        <v>77312000</v>
      </c>
      <c r="E479" s="429"/>
      <c r="F479" s="2441" t="s">
        <v>2145</v>
      </c>
      <c r="G479" s="602"/>
      <c r="H479" s="658">
        <v>552.4</v>
      </c>
      <c r="I479" s="1791">
        <v>54270161</v>
      </c>
      <c r="J479" s="429"/>
      <c r="K479" s="2443"/>
    </row>
    <row r="480" spans="1:11" ht="18" customHeight="1" x14ac:dyDescent="0.25">
      <c r="A480" s="2447" t="s">
        <v>2145</v>
      </c>
      <c r="B480" s="335"/>
      <c r="C480" s="697"/>
      <c r="D480" s="463"/>
      <c r="E480" s="429"/>
      <c r="F480" s="2441" t="s">
        <v>2148</v>
      </c>
      <c r="G480" s="592"/>
      <c r="H480" s="658">
        <v>53</v>
      </c>
      <c r="I480" s="1791">
        <v>63108872</v>
      </c>
      <c r="J480" s="429"/>
      <c r="K480" s="2443"/>
    </row>
    <row r="481" spans="1:11" ht="18" customHeight="1" x14ac:dyDescent="0.25">
      <c r="A481" s="2465" t="s">
        <v>2148</v>
      </c>
      <c r="B481" s="601"/>
      <c r="C481" s="697"/>
      <c r="D481" s="460"/>
      <c r="E481" s="429"/>
      <c r="F481" s="2441" t="s">
        <v>2146</v>
      </c>
      <c r="G481" s="570"/>
      <c r="H481" s="658">
        <v>21</v>
      </c>
      <c r="I481" s="1791">
        <v>83092012</v>
      </c>
      <c r="J481" s="429"/>
      <c r="K481" s="2443"/>
    </row>
    <row r="482" spans="1:11" ht="18" customHeight="1" x14ac:dyDescent="0.25">
      <c r="A482" s="2441" t="s">
        <v>2146</v>
      </c>
      <c r="B482" s="594"/>
      <c r="C482" s="697"/>
      <c r="D482" s="463"/>
      <c r="E482" s="429"/>
      <c r="F482" s="2441" t="s">
        <v>2147</v>
      </c>
      <c r="G482" s="594"/>
      <c r="H482" s="658">
        <v>11</v>
      </c>
      <c r="I482" s="1791">
        <v>94623152</v>
      </c>
      <c r="J482" s="429"/>
      <c r="K482" s="2443"/>
    </row>
    <row r="483" spans="1:11" ht="18" customHeight="1" x14ac:dyDescent="0.25">
      <c r="A483" s="2466" t="s">
        <v>2147</v>
      </c>
      <c r="B483" s="1462"/>
      <c r="C483" s="697"/>
      <c r="D483" s="1464"/>
      <c r="E483" s="429"/>
      <c r="F483" s="2998" t="s">
        <v>2487</v>
      </c>
      <c r="G483" s="1462"/>
      <c r="H483" s="658"/>
      <c r="I483" s="1464" t="s">
        <v>482</v>
      </c>
      <c r="J483" s="429"/>
      <c r="K483" s="2443"/>
    </row>
    <row r="484" spans="1:11" ht="18" customHeight="1" x14ac:dyDescent="0.25">
      <c r="A484" s="538"/>
      <c r="B484" s="575"/>
      <c r="C484" s="719"/>
      <c r="D484" s="445"/>
      <c r="E484" s="429"/>
      <c r="F484" s="2463"/>
      <c r="G484" s="142"/>
      <c r="H484" s="677"/>
      <c r="I484" s="229"/>
      <c r="J484" s="429"/>
      <c r="K484" s="2443"/>
    </row>
    <row r="485" spans="1:11" ht="18" customHeight="1" x14ac:dyDescent="0.25">
      <c r="A485" s="538"/>
      <c r="B485" s="575"/>
      <c r="C485" s="719"/>
      <c r="D485" s="445"/>
      <c r="E485" s="429"/>
      <c r="F485" s="2463"/>
      <c r="G485" s="142"/>
      <c r="H485" s="677"/>
      <c r="I485" s="229"/>
      <c r="J485" s="429"/>
      <c r="K485" s="2443"/>
    </row>
    <row r="486" spans="1:11" ht="18" customHeight="1" x14ac:dyDescent="0.25">
      <c r="A486" s="538"/>
      <c r="B486" s="575"/>
      <c r="C486" s="719"/>
      <c r="D486" s="445"/>
      <c r="E486" s="429"/>
      <c r="F486" s="2463"/>
      <c r="G486" s="142"/>
      <c r="H486" s="677"/>
      <c r="I486" s="229"/>
      <c r="J486" s="429"/>
      <c r="K486" s="2443"/>
    </row>
    <row r="487" spans="1:11" ht="24" customHeight="1" x14ac:dyDescent="0.25">
      <c r="A487" s="2437" t="s">
        <v>2340</v>
      </c>
      <c r="B487" s="564"/>
      <c r="C487" s="2430" t="s">
        <v>480</v>
      </c>
      <c r="D487" s="435" t="s">
        <v>1118</v>
      </c>
      <c r="E487" s="429"/>
      <c r="F487" s="1624" t="s">
        <v>2335</v>
      </c>
      <c r="G487" s="564"/>
      <c r="H487" s="2430" t="s">
        <v>480</v>
      </c>
      <c r="I487" s="435" t="s">
        <v>1119</v>
      </c>
      <c r="J487" s="429"/>
      <c r="K487" s="2443"/>
    </row>
    <row r="488" spans="1:11" ht="18" customHeight="1" x14ac:dyDescent="0.25">
      <c r="A488" s="2974" t="s">
        <v>2621</v>
      </c>
      <c r="B488" s="596"/>
      <c r="C488" s="670">
        <v>351.1</v>
      </c>
      <c r="D488" s="458">
        <v>8448817</v>
      </c>
      <c r="E488" s="429"/>
      <c r="F488" s="523" t="s">
        <v>2621</v>
      </c>
      <c r="G488" s="596"/>
      <c r="H488" s="670">
        <v>317.60000000000002</v>
      </c>
      <c r="I488" s="458">
        <v>13813831</v>
      </c>
      <c r="J488" s="429"/>
      <c r="K488" s="2443"/>
    </row>
    <row r="489" spans="1:11" ht="18" customHeight="1" x14ac:dyDescent="0.25">
      <c r="A489" s="1773" t="s">
        <v>2631</v>
      </c>
      <c r="B489" s="582"/>
      <c r="C489" s="658">
        <v>319.39999999999998</v>
      </c>
      <c r="D489" s="1792">
        <v>8458975</v>
      </c>
      <c r="E489" s="429"/>
      <c r="F489" s="1773" t="s">
        <v>2631</v>
      </c>
      <c r="G489" s="582"/>
      <c r="H489" s="658">
        <v>174.7</v>
      </c>
      <c r="I489" s="1792">
        <v>13830639</v>
      </c>
      <c r="J489" s="429"/>
      <c r="K489" s="2443"/>
    </row>
    <row r="490" spans="1:11" ht="18" customHeight="1" x14ac:dyDescent="0.25">
      <c r="A490" s="1488" t="s">
        <v>2634</v>
      </c>
      <c r="B490" s="582"/>
      <c r="C490" s="657">
        <v>255.8</v>
      </c>
      <c r="D490" s="1792">
        <v>8459757</v>
      </c>
      <c r="E490" s="429"/>
      <c r="F490" s="1488" t="s">
        <v>2634</v>
      </c>
      <c r="G490" s="582"/>
      <c r="H490" s="658">
        <v>142.30000000000001</v>
      </c>
      <c r="I490" s="1792">
        <v>14155499</v>
      </c>
      <c r="J490" s="429"/>
      <c r="K490" s="2443"/>
    </row>
    <row r="491" spans="1:11" ht="18" customHeight="1" x14ac:dyDescent="0.25">
      <c r="A491" s="3290" t="s">
        <v>2632</v>
      </c>
      <c r="B491" s="575"/>
      <c r="C491" s="3191">
        <v>230.7</v>
      </c>
      <c r="D491" s="3195">
        <v>8488768</v>
      </c>
      <c r="E491" s="429"/>
      <c r="F491" s="3293" t="s">
        <v>2487</v>
      </c>
      <c r="G491" s="575"/>
      <c r="H491" s="3191">
        <v>3.02</v>
      </c>
      <c r="I491" s="3195">
        <v>14511209</v>
      </c>
      <c r="J491" s="429"/>
      <c r="K491" s="2443"/>
    </row>
    <row r="492" spans="1:11" ht="18" customHeight="1" x14ac:dyDescent="0.25">
      <c r="A492" s="3300" t="s">
        <v>2344</v>
      </c>
      <c r="B492" s="2043"/>
      <c r="C492" s="658">
        <v>3.7</v>
      </c>
      <c r="D492" s="1792">
        <v>8788869</v>
      </c>
      <c r="E492" s="429"/>
      <c r="F492" s="2990" t="s">
        <v>2469</v>
      </c>
      <c r="G492" s="2850" t="s">
        <v>40</v>
      </c>
      <c r="H492" s="658">
        <v>2780.93</v>
      </c>
      <c r="I492" s="1792">
        <v>14730018</v>
      </c>
      <c r="J492" s="429"/>
      <c r="K492" s="2443"/>
    </row>
    <row r="493" spans="1:11" ht="18" customHeight="1" x14ac:dyDescent="0.25">
      <c r="A493" s="3034" t="s">
        <v>2487</v>
      </c>
      <c r="B493" s="1835"/>
      <c r="C493" s="698">
        <v>2.82</v>
      </c>
      <c r="D493" s="3016">
        <v>8823361</v>
      </c>
      <c r="E493" s="429"/>
      <c r="F493" s="4745" t="s">
        <v>2792</v>
      </c>
      <c r="G493" s="3289" t="s">
        <v>40</v>
      </c>
      <c r="H493" s="657">
        <v>3044.7</v>
      </c>
      <c r="I493" s="3016">
        <v>14730864</v>
      </c>
      <c r="J493" s="429"/>
      <c r="K493" s="2443"/>
    </row>
    <row r="494" spans="1:11" ht="18" customHeight="1" x14ac:dyDescent="0.25">
      <c r="A494" s="2974" t="s">
        <v>2469</v>
      </c>
      <c r="B494" s="3097" t="s">
        <v>40</v>
      </c>
      <c r="C494" s="657">
        <v>2210.62</v>
      </c>
      <c r="D494" s="3016">
        <v>8844439</v>
      </c>
      <c r="E494" s="429"/>
      <c r="F494" s="1688" t="s">
        <v>2478</v>
      </c>
      <c r="G494" s="3097" t="s">
        <v>40</v>
      </c>
      <c r="H494" s="657">
        <v>2535.46</v>
      </c>
      <c r="I494" s="3016">
        <v>14738790</v>
      </c>
      <c r="J494" s="429"/>
      <c r="K494" s="2443"/>
    </row>
    <row r="495" spans="1:11" ht="18" customHeight="1" x14ac:dyDescent="0.25">
      <c r="A495" s="4748" t="s">
        <v>2792</v>
      </c>
      <c r="B495" s="3097" t="s">
        <v>40</v>
      </c>
      <c r="C495" s="657">
        <v>2361.6999999999998</v>
      </c>
      <c r="D495" s="3016">
        <v>8883537</v>
      </c>
      <c r="E495" s="429"/>
      <c r="F495" s="1688" t="s">
        <v>2482</v>
      </c>
      <c r="G495" s="3015" t="s">
        <v>40</v>
      </c>
      <c r="H495" s="657">
        <v>2274.0300000000002</v>
      </c>
      <c r="I495" s="3016">
        <v>14862979</v>
      </c>
      <c r="J495" s="429"/>
      <c r="K495" s="2443"/>
    </row>
    <row r="496" spans="1:11" ht="18" customHeight="1" x14ac:dyDescent="0.25">
      <c r="A496" s="1375" t="s">
        <v>2478</v>
      </c>
      <c r="B496" s="4732" t="s">
        <v>40</v>
      </c>
      <c r="C496" s="658">
        <v>2095.91</v>
      </c>
      <c r="D496" s="1792">
        <v>8891242</v>
      </c>
      <c r="E496" s="429"/>
      <c r="F496" s="2963" t="s">
        <v>2629</v>
      </c>
      <c r="G496" s="2403"/>
      <c r="H496" s="658">
        <v>491.8</v>
      </c>
      <c r="I496" s="1792">
        <v>14864140</v>
      </c>
      <c r="J496" s="429"/>
      <c r="K496" s="2443"/>
    </row>
    <row r="497" spans="1:11" ht="18" customHeight="1" x14ac:dyDescent="0.25">
      <c r="A497" s="1488" t="s">
        <v>2482</v>
      </c>
      <c r="B497" s="582" t="s">
        <v>40</v>
      </c>
      <c r="C497" s="697">
        <v>2730.29</v>
      </c>
      <c r="D497" s="1792">
        <v>8907818</v>
      </c>
      <c r="E497" s="429"/>
      <c r="F497" s="2957" t="s">
        <v>2630</v>
      </c>
      <c r="G497" s="582"/>
      <c r="H497" s="657">
        <v>528.5</v>
      </c>
      <c r="I497" s="1792">
        <v>14865622</v>
      </c>
      <c r="J497" s="429"/>
      <c r="K497" s="2443"/>
    </row>
    <row r="498" spans="1:11" ht="18" customHeight="1" x14ac:dyDescent="0.25">
      <c r="A498" s="3286" t="s">
        <v>2483</v>
      </c>
      <c r="B498" s="3188" t="s">
        <v>40</v>
      </c>
      <c r="C498" s="658">
        <v>2147.4499999999998</v>
      </c>
      <c r="D498" s="438">
        <v>8910634</v>
      </c>
      <c r="E498" s="429"/>
      <c r="F498" s="1390" t="s">
        <v>2483</v>
      </c>
      <c r="G498" s="582" t="s">
        <v>40</v>
      </c>
      <c r="H498" s="658">
        <v>2438.16</v>
      </c>
      <c r="I498" s="1792">
        <v>14905651</v>
      </c>
      <c r="J498" s="429"/>
      <c r="K498" s="2443"/>
    </row>
    <row r="499" spans="1:11" ht="18" customHeight="1" x14ac:dyDescent="0.25">
      <c r="A499" s="2967" t="s">
        <v>2629</v>
      </c>
      <c r="B499" s="2396"/>
      <c r="C499" s="658">
        <v>553.6</v>
      </c>
      <c r="D499" s="1792">
        <v>8955812</v>
      </c>
      <c r="E499" s="429"/>
      <c r="F499" s="3286" t="s">
        <v>2479</v>
      </c>
      <c r="G499" s="3188" t="s">
        <v>40</v>
      </c>
      <c r="H499" s="658">
        <v>2391.8000000000002</v>
      </c>
      <c r="I499" s="1792">
        <v>14906861</v>
      </c>
      <c r="J499" s="429"/>
      <c r="K499" s="2443"/>
    </row>
    <row r="500" spans="1:11" ht="18" customHeight="1" x14ac:dyDescent="0.25">
      <c r="A500" s="1688" t="s">
        <v>2479</v>
      </c>
      <c r="B500" s="335" t="s">
        <v>40</v>
      </c>
      <c r="C500" s="658">
        <v>1839.88</v>
      </c>
      <c r="D500" s="1754">
        <v>8967247</v>
      </c>
      <c r="E500" s="429"/>
      <c r="F500" s="1410" t="s">
        <v>2623</v>
      </c>
      <c r="G500" s="583"/>
      <c r="H500" s="658">
        <v>250.1</v>
      </c>
      <c r="I500" s="438">
        <v>15009721</v>
      </c>
      <c r="J500" s="429"/>
      <c r="K500" s="2443"/>
    </row>
    <row r="501" spans="1:11" ht="18" customHeight="1" x14ac:dyDescent="0.25">
      <c r="A501" s="2959" t="s">
        <v>2623</v>
      </c>
      <c r="B501" s="335"/>
      <c r="C501" s="658">
        <v>274.10000000000002</v>
      </c>
      <c r="D501" s="438">
        <v>9041531</v>
      </c>
      <c r="E501" s="429"/>
      <c r="F501" s="4632" t="s">
        <v>2495</v>
      </c>
      <c r="G501" s="335" t="s">
        <v>40</v>
      </c>
      <c r="H501" s="658">
        <v>263.5</v>
      </c>
      <c r="I501" s="1754">
        <v>15267552</v>
      </c>
      <c r="J501" s="429"/>
      <c r="K501" s="2443"/>
    </row>
    <row r="502" spans="1:11" ht="18" customHeight="1" x14ac:dyDescent="0.25">
      <c r="A502" s="1390" t="s">
        <v>1833</v>
      </c>
      <c r="B502" s="1803" t="s">
        <v>40</v>
      </c>
      <c r="C502" s="658">
        <v>47.82</v>
      </c>
      <c r="D502" s="1792">
        <v>9176000</v>
      </c>
      <c r="E502" s="429"/>
      <c r="F502" s="494" t="s">
        <v>2002</v>
      </c>
      <c r="G502" s="335" t="s">
        <v>40</v>
      </c>
      <c r="H502" s="658">
        <v>338</v>
      </c>
      <c r="I502" s="438">
        <v>15274846</v>
      </c>
      <c r="J502" s="429"/>
      <c r="K502" s="2443"/>
    </row>
    <row r="503" spans="1:11" ht="18" customHeight="1" x14ac:dyDescent="0.25">
      <c r="A503" s="4652" t="s">
        <v>2495</v>
      </c>
      <c r="B503" s="1790" t="s">
        <v>40</v>
      </c>
      <c r="C503" s="658">
        <v>191.77</v>
      </c>
      <c r="D503" s="1792">
        <v>9243149</v>
      </c>
      <c r="E503" s="429"/>
      <c r="F503" s="1773" t="s">
        <v>748</v>
      </c>
      <c r="G503" s="1790" t="s">
        <v>40</v>
      </c>
      <c r="H503" s="658">
        <v>383</v>
      </c>
      <c r="I503" s="1792">
        <v>15277368</v>
      </c>
      <c r="J503" s="429"/>
      <c r="K503" s="2443"/>
    </row>
    <row r="504" spans="1:11" ht="18" customHeight="1" x14ac:dyDescent="0.25">
      <c r="A504" s="1688" t="s">
        <v>2002</v>
      </c>
      <c r="B504" s="2043" t="s">
        <v>40</v>
      </c>
      <c r="C504" s="658">
        <v>300.55</v>
      </c>
      <c r="D504" s="1792">
        <v>9258755</v>
      </c>
      <c r="E504" s="429"/>
      <c r="F504" s="1390" t="s">
        <v>2344</v>
      </c>
      <c r="G504" s="1803"/>
      <c r="H504" s="658">
        <v>10.32</v>
      </c>
      <c r="I504" s="1792">
        <v>15496110</v>
      </c>
      <c r="J504" s="429"/>
      <c r="K504" s="2443"/>
    </row>
    <row r="505" spans="1:11" ht="18" customHeight="1" x14ac:dyDescent="0.25">
      <c r="A505" s="1390" t="s">
        <v>748</v>
      </c>
      <c r="B505" s="2043" t="s">
        <v>40</v>
      </c>
      <c r="C505" s="658">
        <v>234.38</v>
      </c>
      <c r="D505" s="1792">
        <v>9260552</v>
      </c>
      <c r="E505" s="429"/>
      <c r="F505" s="2441" t="s">
        <v>2050</v>
      </c>
      <c r="G505" s="2043"/>
      <c r="H505" s="658">
        <v>1</v>
      </c>
      <c r="I505" s="1791">
        <v>15808704</v>
      </c>
      <c r="J505" s="429"/>
      <c r="K505" s="2443"/>
    </row>
    <row r="506" spans="1:11" ht="18" customHeight="1" x14ac:dyDescent="0.25">
      <c r="A506" s="2960" t="s">
        <v>2630</v>
      </c>
      <c r="B506" s="3301"/>
      <c r="C506" s="658">
        <v>115.5</v>
      </c>
      <c r="D506" s="1792">
        <v>9310836</v>
      </c>
      <c r="E506" s="429"/>
      <c r="F506" s="2975" t="s">
        <v>2585</v>
      </c>
      <c r="G506" s="2043"/>
      <c r="H506" s="658">
        <v>6</v>
      </c>
      <c r="I506" s="1792">
        <v>15810746</v>
      </c>
      <c r="J506" s="429"/>
      <c r="K506" s="2443"/>
    </row>
    <row r="507" spans="1:11" ht="18" customHeight="1" x14ac:dyDescent="0.25">
      <c r="A507" s="3298" t="s">
        <v>1826</v>
      </c>
      <c r="B507" s="2043" t="s">
        <v>40</v>
      </c>
      <c r="C507" s="658">
        <v>21.34</v>
      </c>
      <c r="D507" s="1792">
        <v>9367723</v>
      </c>
      <c r="E507" s="429"/>
      <c r="F507" s="2481" t="s">
        <v>1767</v>
      </c>
      <c r="G507" s="2050"/>
      <c r="H507" s="658">
        <v>4.59</v>
      </c>
      <c r="I507" s="1792">
        <v>15833759</v>
      </c>
      <c r="J507" s="429"/>
      <c r="K507" s="2443"/>
    </row>
    <row r="508" spans="1:11" ht="18" customHeight="1" x14ac:dyDescent="0.25">
      <c r="A508" s="1410" t="s">
        <v>2633</v>
      </c>
      <c r="B508" s="585"/>
      <c r="C508" s="657">
        <v>351.2</v>
      </c>
      <c r="D508" s="454">
        <v>9474630</v>
      </c>
      <c r="E508" s="429"/>
      <c r="F508" s="1469" t="s">
        <v>1790</v>
      </c>
      <c r="G508" s="3303"/>
      <c r="H508" s="658">
        <v>8.3000000000000007</v>
      </c>
      <c r="I508" s="1792">
        <v>15843008</v>
      </c>
      <c r="J508" s="429"/>
      <c r="K508" s="2443"/>
    </row>
    <row r="509" spans="1:11" ht="18" customHeight="1" x14ac:dyDescent="0.25">
      <c r="A509" s="1726" t="s">
        <v>1792</v>
      </c>
      <c r="B509" s="3082"/>
      <c r="C509" s="658">
        <v>26.59</v>
      </c>
      <c r="D509" s="1754">
        <v>9500618</v>
      </c>
      <c r="E509" s="429"/>
      <c r="F509" s="495" t="s">
        <v>1833</v>
      </c>
      <c r="G509" s="585" t="s">
        <v>40</v>
      </c>
      <c r="H509" s="657">
        <v>95.4</v>
      </c>
      <c r="I509" s="454">
        <v>16341702</v>
      </c>
      <c r="J509" s="429"/>
      <c r="K509" s="2443"/>
    </row>
    <row r="510" spans="1:11" ht="18" customHeight="1" x14ac:dyDescent="0.25">
      <c r="A510" s="2193" t="s">
        <v>1790</v>
      </c>
      <c r="B510" s="3302"/>
      <c r="C510" s="657">
        <v>5.52</v>
      </c>
      <c r="D510" s="454">
        <v>9630720</v>
      </c>
      <c r="E510" s="429"/>
      <c r="F510" s="1726" t="s">
        <v>1792</v>
      </c>
      <c r="G510" s="3082"/>
      <c r="H510" s="658">
        <v>68.66</v>
      </c>
      <c r="I510" s="1754">
        <v>16631118</v>
      </c>
      <c r="J510" s="429"/>
      <c r="K510" s="2443"/>
    </row>
    <row r="511" spans="1:11" ht="18" customHeight="1" x14ac:dyDescent="0.25">
      <c r="A511" s="1688" t="s">
        <v>2026</v>
      </c>
      <c r="B511" s="335"/>
      <c r="C511" s="657">
        <v>16.18</v>
      </c>
      <c r="D511" s="457">
        <v>9632254</v>
      </c>
      <c r="E511" s="429"/>
      <c r="F511" s="1765" t="s">
        <v>1826</v>
      </c>
      <c r="G511" s="585" t="s">
        <v>40</v>
      </c>
      <c r="H511" s="657">
        <v>83.76</v>
      </c>
      <c r="I511" s="454">
        <v>16745930</v>
      </c>
      <c r="J511" s="429"/>
      <c r="K511" s="2443"/>
    </row>
    <row r="512" spans="1:11" ht="18" customHeight="1" x14ac:dyDescent="0.25">
      <c r="A512" s="1404" t="s">
        <v>1793</v>
      </c>
      <c r="B512" s="1389"/>
      <c r="C512" s="658">
        <v>9.3000000000000007</v>
      </c>
      <c r="D512" s="1566">
        <v>9742321</v>
      </c>
      <c r="E512" s="429"/>
      <c r="F512" s="2957" t="s">
        <v>2632</v>
      </c>
      <c r="G512" s="335"/>
      <c r="H512" s="657">
        <v>369.7</v>
      </c>
      <c r="I512" s="457">
        <v>16765631</v>
      </c>
      <c r="J512" s="429"/>
      <c r="K512" s="2443"/>
    </row>
    <row r="513" spans="1:11" ht="18" customHeight="1" x14ac:dyDescent="0.25">
      <c r="A513" s="1688" t="s">
        <v>1758</v>
      </c>
      <c r="B513" s="572"/>
      <c r="C513" s="658">
        <v>30.79</v>
      </c>
      <c r="D513" s="457">
        <v>9776111</v>
      </c>
      <c r="E513" s="429"/>
      <c r="F513" s="2966" t="s">
        <v>2637</v>
      </c>
      <c r="G513" s="1384"/>
      <c r="H513" s="658">
        <v>434.3</v>
      </c>
      <c r="I513" s="1792">
        <v>16765631</v>
      </c>
      <c r="J513" s="429"/>
      <c r="K513" s="2443"/>
    </row>
    <row r="514" spans="1:11" ht="18" customHeight="1" x14ac:dyDescent="0.25">
      <c r="A514" s="3055" t="s">
        <v>2134</v>
      </c>
      <c r="B514" s="1384"/>
      <c r="C514" s="658">
        <v>14.44</v>
      </c>
      <c r="D514" s="457">
        <v>9848583</v>
      </c>
      <c r="E514" s="429"/>
      <c r="F514" s="2957" t="s">
        <v>2633</v>
      </c>
      <c r="G514" s="335"/>
      <c r="H514" s="658">
        <v>454.7</v>
      </c>
      <c r="I514" s="457">
        <v>16765631</v>
      </c>
      <c r="J514" s="429"/>
      <c r="K514" s="2443"/>
    </row>
    <row r="515" spans="1:11" ht="18" customHeight="1" x14ac:dyDescent="0.25">
      <c r="A515" s="494" t="s">
        <v>1711</v>
      </c>
      <c r="B515" s="585" t="s">
        <v>40</v>
      </c>
      <c r="C515" s="658">
        <v>1.8</v>
      </c>
      <c r="D515" s="457">
        <v>9914942</v>
      </c>
      <c r="E515" s="429"/>
      <c r="F515" s="494" t="s">
        <v>2026</v>
      </c>
      <c r="G515" s="585"/>
      <c r="H515" s="658">
        <v>27</v>
      </c>
      <c r="I515" s="457">
        <v>17014455</v>
      </c>
      <c r="J515" s="429"/>
      <c r="K515" s="2443"/>
    </row>
    <row r="516" spans="1:11" ht="18" customHeight="1" x14ac:dyDescent="0.25">
      <c r="A516" s="2958" t="s">
        <v>2558</v>
      </c>
      <c r="B516" s="335"/>
      <c r="C516" s="658">
        <v>147.5</v>
      </c>
      <c r="D516" s="457">
        <v>9947261</v>
      </c>
      <c r="E516" s="429"/>
      <c r="F516" s="2491" t="s">
        <v>2556</v>
      </c>
      <c r="G516" s="585"/>
      <c r="H516" s="658">
        <v>50.17</v>
      </c>
      <c r="I516" s="457">
        <v>17407534</v>
      </c>
      <c r="J516" s="429"/>
      <c r="K516" s="2443"/>
    </row>
    <row r="517" spans="1:11" ht="18" customHeight="1" x14ac:dyDescent="0.25">
      <c r="A517" s="1455" t="s">
        <v>2153</v>
      </c>
      <c r="B517" s="585"/>
      <c r="C517" s="660">
        <v>323.95999999999998</v>
      </c>
      <c r="D517" s="454">
        <v>9969003</v>
      </c>
      <c r="E517" s="429"/>
      <c r="F517" s="2958" t="s">
        <v>2558</v>
      </c>
      <c r="G517" s="335"/>
      <c r="H517" s="658">
        <v>127.7</v>
      </c>
      <c r="I517" s="457">
        <v>17453015</v>
      </c>
      <c r="J517" s="429"/>
      <c r="K517" s="2443"/>
    </row>
    <row r="518" spans="1:11" ht="18" customHeight="1" x14ac:dyDescent="0.25">
      <c r="A518" s="493" t="s">
        <v>578</v>
      </c>
      <c r="B518" s="571" t="s">
        <v>40</v>
      </c>
      <c r="C518" s="657">
        <v>3.75</v>
      </c>
      <c r="D518" s="438">
        <v>10014748</v>
      </c>
      <c r="E518" s="429"/>
      <c r="F518" s="495" t="s">
        <v>1101</v>
      </c>
      <c r="G518" s="626"/>
      <c r="H518" s="657">
        <v>216.6</v>
      </c>
      <c r="I518" s="454">
        <v>17509796</v>
      </c>
      <c r="J518" s="429"/>
      <c r="K518" s="2443"/>
    </row>
    <row r="519" spans="1:11" ht="18" customHeight="1" x14ac:dyDescent="0.25">
      <c r="A519" s="2447" t="s">
        <v>2050</v>
      </c>
      <c r="B519" s="585"/>
      <c r="C519" s="657">
        <v>1</v>
      </c>
      <c r="D519" s="484">
        <v>10065746</v>
      </c>
      <c r="E519" s="429"/>
      <c r="F519" s="493" t="s">
        <v>1756</v>
      </c>
      <c r="G519" s="571" t="s">
        <v>40</v>
      </c>
      <c r="H519" s="660">
        <v>15.4</v>
      </c>
      <c r="I519" s="438">
        <v>17542161</v>
      </c>
      <c r="J519" s="429"/>
      <c r="K519" s="2443"/>
    </row>
    <row r="520" spans="1:11" ht="18" customHeight="1" x14ac:dyDescent="0.25">
      <c r="A520" s="495" t="s">
        <v>1101</v>
      </c>
      <c r="B520" s="1386"/>
      <c r="C520" s="657">
        <v>82.12</v>
      </c>
      <c r="D520" s="457">
        <v>10173600</v>
      </c>
      <c r="E520" s="429"/>
      <c r="F520" s="3001" t="s">
        <v>2217</v>
      </c>
      <c r="G520" s="585"/>
      <c r="H520" s="657">
        <v>28.2</v>
      </c>
      <c r="I520" s="442">
        <v>17590584</v>
      </c>
      <c r="J520" s="429"/>
      <c r="K520" s="2443"/>
    </row>
    <row r="521" spans="1:11" ht="18" customHeight="1" x14ac:dyDescent="0.25">
      <c r="A521" s="2313" t="s">
        <v>2585</v>
      </c>
      <c r="B521" s="1384"/>
      <c r="C521" s="658">
        <v>5</v>
      </c>
      <c r="D521" s="457">
        <v>10505394</v>
      </c>
      <c r="E521" s="429"/>
      <c r="F521" s="495" t="s">
        <v>575</v>
      </c>
      <c r="G521" s="1388"/>
      <c r="H521" s="657">
        <v>36.700000000000003</v>
      </c>
      <c r="I521" s="457">
        <v>17590857</v>
      </c>
      <c r="J521" s="429"/>
      <c r="K521" s="2443"/>
    </row>
    <row r="522" spans="1:11" ht="18" customHeight="1" x14ac:dyDescent="0.25">
      <c r="A522" s="2199" t="s">
        <v>2219</v>
      </c>
      <c r="B522" s="1364"/>
      <c r="C522" s="658">
        <v>1206.8800000000001</v>
      </c>
      <c r="D522" s="457">
        <v>10602629</v>
      </c>
      <c r="E522" s="429"/>
      <c r="F522" s="497" t="s">
        <v>1594</v>
      </c>
      <c r="G522" s="1384" t="s">
        <v>40</v>
      </c>
      <c r="H522" s="658">
        <v>9.4</v>
      </c>
      <c r="I522" s="457">
        <v>17617232</v>
      </c>
      <c r="J522" s="429"/>
      <c r="K522" s="2443"/>
    </row>
    <row r="523" spans="1:11" ht="18" customHeight="1" x14ac:dyDescent="0.25">
      <c r="A523" s="499" t="s">
        <v>1594</v>
      </c>
      <c r="B523" s="1364" t="s">
        <v>40</v>
      </c>
      <c r="C523" s="658">
        <v>2.7</v>
      </c>
      <c r="D523" s="457">
        <v>10615994</v>
      </c>
      <c r="E523" s="429"/>
      <c r="F523" s="1374" t="s">
        <v>2153</v>
      </c>
      <c r="G523" s="1364"/>
      <c r="H523" s="659">
        <v>581</v>
      </c>
      <c r="I523" s="457">
        <v>17722140</v>
      </c>
      <c r="J523" s="429"/>
      <c r="K523" s="2443"/>
    </row>
    <row r="524" spans="1:11" ht="18" customHeight="1" x14ac:dyDescent="0.25">
      <c r="A524" s="523" t="s">
        <v>2626</v>
      </c>
      <c r="B524" s="588"/>
      <c r="C524" s="659">
        <v>2.42</v>
      </c>
      <c r="D524" s="439">
        <v>10716029</v>
      </c>
      <c r="E524" s="429"/>
      <c r="F524" s="499" t="s">
        <v>578</v>
      </c>
      <c r="G524" s="1364" t="s">
        <v>40</v>
      </c>
      <c r="H524" s="658">
        <v>36.299999999999997</v>
      </c>
      <c r="I524" s="457">
        <v>17744342</v>
      </c>
      <c r="J524" s="429"/>
      <c r="K524" s="2443"/>
    </row>
    <row r="525" spans="1:11" ht="18" customHeight="1" x14ac:dyDescent="0.25">
      <c r="A525" s="2981" t="s">
        <v>2190</v>
      </c>
      <c r="B525" s="335" t="s">
        <v>40</v>
      </c>
      <c r="C525" s="658">
        <v>3.2</v>
      </c>
      <c r="D525" s="457">
        <v>10744274</v>
      </c>
      <c r="E525" s="429"/>
      <c r="F525" s="498" t="s">
        <v>1793</v>
      </c>
      <c r="G525" s="623"/>
      <c r="H525" s="658">
        <v>16</v>
      </c>
      <c r="I525" s="455">
        <v>17779265</v>
      </c>
      <c r="J525" s="429"/>
      <c r="K525" s="2443"/>
    </row>
    <row r="526" spans="1:11" ht="18" customHeight="1" x14ac:dyDescent="0.25">
      <c r="A526" s="493" t="s">
        <v>921</v>
      </c>
      <c r="B526" s="580"/>
      <c r="C526" s="657">
        <v>3.58</v>
      </c>
      <c r="D526" s="456">
        <v>10744274</v>
      </c>
      <c r="E526" s="429"/>
      <c r="F526" s="2981" t="s">
        <v>2152</v>
      </c>
      <c r="G526" s="335" t="s">
        <v>40</v>
      </c>
      <c r="H526" s="659">
        <v>6</v>
      </c>
      <c r="I526" s="457">
        <v>17920338</v>
      </c>
      <c r="J526" s="429"/>
      <c r="K526" s="2443"/>
    </row>
    <row r="527" spans="1:11" ht="18" customHeight="1" x14ac:dyDescent="0.25">
      <c r="A527" s="2496" t="s">
        <v>1100</v>
      </c>
      <c r="B527" s="335" t="s">
        <v>40</v>
      </c>
      <c r="C527" s="657">
        <v>3.33</v>
      </c>
      <c r="D527" s="454">
        <v>10759458</v>
      </c>
      <c r="E527" s="429"/>
      <c r="F527" s="1458" t="s">
        <v>1102</v>
      </c>
      <c r="G527" s="335" t="s">
        <v>40</v>
      </c>
      <c r="H527" s="657">
        <v>7</v>
      </c>
      <c r="I527" s="456">
        <v>18007937</v>
      </c>
      <c r="J527" s="429"/>
      <c r="K527" s="2443"/>
    </row>
    <row r="528" spans="1:11" ht="18" customHeight="1" x14ac:dyDescent="0.25">
      <c r="A528" s="523" t="s">
        <v>2556</v>
      </c>
      <c r="B528" s="335"/>
      <c r="C528" s="658">
        <v>37.4</v>
      </c>
      <c r="D528" s="455">
        <v>11001420</v>
      </c>
      <c r="E528" s="429"/>
      <c r="F528" s="2977" t="s">
        <v>2134</v>
      </c>
      <c r="G528" s="335"/>
      <c r="H528" s="657">
        <v>22.2</v>
      </c>
      <c r="I528" s="454">
        <v>18210157</v>
      </c>
      <c r="J528" s="429"/>
      <c r="K528" s="2443"/>
    </row>
    <row r="529" spans="1:11" ht="18" customHeight="1" x14ac:dyDescent="0.25">
      <c r="A529" s="493" t="s">
        <v>2346</v>
      </c>
      <c r="B529" s="571" t="s">
        <v>40</v>
      </c>
      <c r="C529" s="658">
        <v>167.37</v>
      </c>
      <c r="D529" s="455">
        <v>11124792</v>
      </c>
      <c r="E529" s="429"/>
      <c r="F529" s="493" t="s">
        <v>1711</v>
      </c>
      <c r="G529" s="335" t="s">
        <v>40</v>
      </c>
      <c r="H529" s="658">
        <v>9.5</v>
      </c>
      <c r="I529" s="455">
        <v>18278584</v>
      </c>
      <c r="J529" s="429"/>
      <c r="K529" s="2443"/>
    </row>
    <row r="530" spans="1:11" ht="18" customHeight="1" x14ac:dyDescent="0.25">
      <c r="A530" s="497" t="s">
        <v>575</v>
      </c>
      <c r="B530" s="570"/>
      <c r="C530" s="658">
        <v>17.12</v>
      </c>
      <c r="D530" s="438">
        <v>11218203</v>
      </c>
      <c r="E530" s="429"/>
      <c r="F530" s="493" t="s">
        <v>2346</v>
      </c>
      <c r="G530" s="571" t="s">
        <v>40</v>
      </c>
      <c r="H530" s="658">
        <v>154.24</v>
      </c>
      <c r="I530" s="455">
        <v>18356657</v>
      </c>
      <c r="J530" s="429"/>
      <c r="K530" s="2443"/>
    </row>
    <row r="531" spans="1:11" ht="18" customHeight="1" x14ac:dyDescent="0.25">
      <c r="A531" s="2979" t="s">
        <v>2217</v>
      </c>
      <c r="B531" s="335"/>
      <c r="C531" s="658">
        <v>17.2</v>
      </c>
      <c r="D531" s="1792">
        <v>11220339</v>
      </c>
      <c r="E531" s="429"/>
      <c r="F531" s="2498" t="s">
        <v>2626</v>
      </c>
      <c r="G531" s="573"/>
      <c r="H531" s="659">
        <v>2.0880000000000001</v>
      </c>
      <c r="I531" s="440">
        <v>18406756</v>
      </c>
      <c r="J531" s="429"/>
      <c r="K531" s="2443"/>
    </row>
    <row r="532" spans="1:11" ht="18" customHeight="1" x14ac:dyDescent="0.25">
      <c r="A532" s="510" t="s">
        <v>1767</v>
      </c>
      <c r="B532" s="573"/>
      <c r="C532" s="658">
        <v>3.89</v>
      </c>
      <c r="D532" s="438">
        <v>11428553</v>
      </c>
      <c r="E532" s="429"/>
      <c r="F532" s="497" t="s">
        <v>1768</v>
      </c>
      <c r="G532" s="573"/>
      <c r="H532" s="658">
        <v>2</v>
      </c>
      <c r="I532" s="438">
        <v>18407106</v>
      </c>
      <c r="J532" s="429"/>
      <c r="K532" s="2443"/>
    </row>
    <row r="533" spans="1:11" ht="18" customHeight="1" x14ac:dyDescent="0.25">
      <c r="A533" s="497" t="s">
        <v>1768</v>
      </c>
      <c r="B533" s="573"/>
      <c r="C533" s="658">
        <v>1</v>
      </c>
      <c r="D533" s="457">
        <v>11741146</v>
      </c>
      <c r="E533" s="429"/>
      <c r="F533" s="1762" t="s">
        <v>2219</v>
      </c>
      <c r="G533" s="335"/>
      <c r="H533" s="1771">
        <v>267.54000000000002</v>
      </c>
      <c r="I533" s="457">
        <v>18438886</v>
      </c>
      <c r="J533" s="429"/>
      <c r="K533" s="2443"/>
    </row>
    <row r="534" spans="1:11" ht="18" customHeight="1" x14ac:dyDescent="0.25">
      <c r="A534" s="524" t="s">
        <v>1102</v>
      </c>
      <c r="B534" s="335" t="s">
        <v>40</v>
      </c>
      <c r="C534" s="658">
        <v>5</v>
      </c>
      <c r="D534" s="438">
        <v>11805616</v>
      </c>
      <c r="E534" s="429"/>
      <c r="F534" s="2975" t="s">
        <v>2190</v>
      </c>
      <c r="G534" s="335" t="s">
        <v>40</v>
      </c>
      <c r="H534" s="658">
        <v>25.16</v>
      </c>
      <c r="I534" s="438">
        <v>18450068</v>
      </c>
      <c r="J534" s="429"/>
      <c r="K534" s="2443"/>
    </row>
    <row r="535" spans="1:11" ht="18" customHeight="1" x14ac:dyDescent="0.25">
      <c r="A535" s="2313" t="s">
        <v>2152</v>
      </c>
      <c r="B535" s="590" t="s">
        <v>40</v>
      </c>
      <c r="C535" s="659">
        <v>4</v>
      </c>
      <c r="D535" s="239">
        <v>11805871</v>
      </c>
      <c r="E535" s="429"/>
      <c r="F535" s="497" t="s">
        <v>921</v>
      </c>
      <c r="G535" s="1456"/>
      <c r="H535" s="658">
        <v>23.8</v>
      </c>
      <c r="I535" s="239">
        <v>18450068</v>
      </c>
      <c r="J535" s="429"/>
      <c r="K535" s="2443"/>
    </row>
    <row r="536" spans="1:11" ht="18" customHeight="1" x14ac:dyDescent="0.25">
      <c r="A536" s="500" t="s">
        <v>1756</v>
      </c>
      <c r="B536" s="335" t="s">
        <v>40</v>
      </c>
      <c r="C536" s="661">
        <v>10.9</v>
      </c>
      <c r="D536" s="459">
        <v>11897295</v>
      </c>
      <c r="E536" s="429"/>
      <c r="F536" s="500" t="s">
        <v>1758</v>
      </c>
      <c r="G536" s="572"/>
      <c r="H536" s="671">
        <v>56.7</v>
      </c>
      <c r="I536" s="459">
        <v>18481961</v>
      </c>
      <c r="J536" s="429"/>
      <c r="K536" s="2443"/>
    </row>
    <row r="537" spans="1:11" ht="18" customHeight="1" x14ac:dyDescent="0.25">
      <c r="A537" s="2981" t="s">
        <v>2636</v>
      </c>
      <c r="B537" s="335" t="s">
        <v>40</v>
      </c>
      <c r="C537" s="658">
        <v>7.06</v>
      </c>
      <c r="D537" s="438">
        <v>12374374</v>
      </c>
      <c r="E537" s="429"/>
      <c r="F537" s="2496" t="s">
        <v>1100</v>
      </c>
      <c r="G537" s="335" t="s">
        <v>40</v>
      </c>
      <c r="H537" s="658">
        <v>7.2</v>
      </c>
      <c r="I537" s="438">
        <v>18518843</v>
      </c>
      <c r="J537" s="429"/>
      <c r="K537" s="2443"/>
    </row>
    <row r="538" spans="1:11" ht="18" customHeight="1" x14ac:dyDescent="0.25">
      <c r="A538" s="497" t="s">
        <v>1759</v>
      </c>
      <c r="B538" s="574"/>
      <c r="C538" s="659">
        <v>12</v>
      </c>
      <c r="D538" s="438">
        <v>12882548</v>
      </c>
      <c r="E538" s="429"/>
      <c r="F538" s="2313" t="s">
        <v>2636</v>
      </c>
      <c r="G538" s="590" t="s">
        <v>40</v>
      </c>
      <c r="H538" s="658">
        <v>6.8</v>
      </c>
      <c r="I538" s="438">
        <v>18828019</v>
      </c>
      <c r="J538" s="429"/>
      <c r="K538" s="2443"/>
    </row>
    <row r="539" spans="1:11" ht="18" customHeight="1" x14ac:dyDescent="0.25">
      <c r="A539" s="497" t="s">
        <v>1959</v>
      </c>
      <c r="B539" s="576"/>
      <c r="C539" s="658">
        <v>0.89</v>
      </c>
      <c r="D539" s="438">
        <v>13103732</v>
      </c>
      <c r="E539" s="429"/>
      <c r="F539" s="1390" t="s">
        <v>1959</v>
      </c>
      <c r="G539" s="573"/>
      <c r="H539" s="658">
        <v>0.99</v>
      </c>
      <c r="I539" s="1792">
        <v>18984217</v>
      </c>
      <c r="J539" s="429"/>
      <c r="K539" s="2443"/>
    </row>
    <row r="540" spans="1:11" ht="18" customHeight="1" x14ac:dyDescent="0.25">
      <c r="A540" s="493" t="s">
        <v>2625</v>
      </c>
      <c r="B540" s="601" t="s">
        <v>40</v>
      </c>
      <c r="C540" s="658">
        <v>3.9</v>
      </c>
      <c r="D540" s="438">
        <v>13364467</v>
      </c>
      <c r="E540" s="429"/>
      <c r="F540" s="493" t="s">
        <v>1759</v>
      </c>
      <c r="G540" s="576"/>
      <c r="H540" s="659">
        <v>18</v>
      </c>
      <c r="I540" s="438">
        <v>19062520</v>
      </c>
      <c r="J540" s="429"/>
      <c r="K540" s="2443"/>
    </row>
    <row r="541" spans="1:11" ht="18" customHeight="1" x14ac:dyDescent="0.25">
      <c r="A541" s="498" t="s">
        <v>503</v>
      </c>
      <c r="B541" s="2069"/>
      <c r="C541" s="658"/>
      <c r="D541" s="1792">
        <v>15158131</v>
      </c>
      <c r="E541" s="429"/>
      <c r="F541" s="498" t="s">
        <v>503</v>
      </c>
      <c r="G541" s="2069"/>
      <c r="H541" s="658"/>
      <c r="I541" s="438">
        <v>19788288</v>
      </c>
      <c r="J541" s="429"/>
      <c r="K541" s="2443"/>
    </row>
    <row r="542" spans="1:11" ht="18" customHeight="1" x14ac:dyDescent="0.25">
      <c r="A542" s="2441" t="s">
        <v>2145</v>
      </c>
      <c r="B542" s="602"/>
      <c r="C542" s="658"/>
      <c r="D542" s="1791"/>
      <c r="E542" s="429"/>
      <c r="F542" s="2441" t="s">
        <v>2145</v>
      </c>
      <c r="G542" s="602"/>
      <c r="H542" s="658">
        <v>514</v>
      </c>
      <c r="I542" s="453">
        <v>50371399</v>
      </c>
      <c r="J542" s="429"/>
      <c r="K542" s="2443"/>
    </row>
    <row r="543" spans="1:11" ht="18" customHeight="1" x14ac:dyDescent="0.25">
      <c r="A543" s="2441" t="s">
        <v>2148</v>
      </c>
      <c r="B543" s="335"/>
      <c r="C543" s="658"/>
      <c r="D543" s="1791"/>
      <c r="E543" s="429"/>
      <c r="F543" s="2441" t="s">
        <v>2148</v>
      </c>
      <c r="G543" s="335"/>
      <c r="H543" s="658">
        <v>46</v>
      </c>
      <c r="I543" s="453">
        <v>58803765</v>
      </c>
      <c r="J543" s="429"/>
      <c r="K543" s="2443"/>
    </row>
    <row r="544" spans="1:11" ht="18" customHeight="1" x14ac:dyDescent="0.25">
      <c r="A544" s="2441" t="s">
        <v>2146</v>
      </c>
      <c r="B544" s="628"/>
      <c r="C544" s="658"/>
      <c r="D544" s="1791"/>
      <c r="E544" s="429"/>
      <c r="F544" s="2441" t="s">
        <v>2146</v>
      </c>
      <c r="G544" s="628"/>
      <c r="H544" s="658">
        <v>18</v>
      </c>
      <c r="I544" s="453">
        <v>78178893</v>
      </c>
      <c r="J544" s="429"/>
      <c r="K544" s="2443"/>
    </row>
    <row r="545" spans="1:11" ht="18" customHeight="1" x14ac:dyDescent="0.25">
      <c r="A545" s="2466" t="s">
        <v>2147</v>
      </c>
      <c r="B545" s="1462"/>
      <c r="C545" s="658"/>
      <c r="D545" s="1464"/>
      <c r="E545" s="429"/>
      <c r="F545" s="2466" t="s">
        <v>2147</v>
      </c>
      <c r="G545" s="1462"/>
      <c r="H545" s="658">
        <v>13</v>
      </c>
      <c r="I545" s="1464">
        <v>89537228</v>
      </c>
      <c r="J545" s="429"/>
      <c r="K545" s="2443"/>
    </row>
    <row r="546" spans="1:11" ht="18" customHeight="1" x14ac:dyDescent="0.25">
      <c r="A546" s="2466"/>
      <c r="B546" s="1462"/>
      <c r="C546" s="658"/>
      <c r="D546" s="1464"/>
      <c r="E546" s="429"/>
      <c r="F546" s="2065" t="s">
        <v>2344</v>
      </c>
      <c r="G546" s="1462"/>
      <c r="H546" s="664"/>
      <c r="I546" s="1464" t="s">
        <v>482</v>
      </c>
      <c r="J546" s="429"/>
      <c r="K546" s="2443"/>
    </row>
    <row r="547" spans="1:11" ht="18" customHeight="1" x14ac:dyDescent="0.25">
      <c r="A547" s="538"/>
      <c r="B547" s="575"/>
      <c r="C547" s="719"/>
      <c r="D547" s="445"/>
      <c r="E547" s="429"/>
      <c r="F547" s="2432"/>
      <c r="G547" s="2433"/>
      <c r="H547" s="2434"/>
      <c r="I547" s="2435"/>
      <c r="J547" s="429"/>
      <c r="K547" s="2443"/>
    </row>
    <row r="548" spans="1:11" ht="18" customHeight="1" x14ac:dyDescent="0.25">
      <c r="A548" s="538"/>
      <c r="B548" s="575"/>
      <c r="C548" s="719"/>
      <c r="D548" s="445"/>
      <c r="E548" s="429"/>
      <c r="F548" s="2463"/>
      <c r="G548" s="142"/>
      <c r="H548" s="677"/>
      <c r="I548" s="229"/>
      <c r="J548" s="429"/>
      <c r="K548" s="2443"/>
    </row>
    <row r="549" spans="1:11" ht="18" customHeight="1" x14ac:dyDescent="0.25">
      <c r="A549" s="525"/>
      <c r="B549" s="575"/>
      <c r="C549" s="719"/>
      <c r="D549" s="445"/>
      <c r="E549" s="429"/>
      <c r="F549" s="525"/>
      <c r="G549" s="575"/>
      <c r="H549" s="677"/>
      <c r="I549" s="177"/>
      <c r="J549" s="429"/>
      <c r="K549" s="2443"/>
    </row>
    <row r="550" spans="1:11" ht="24" customHeight="1" x14ac:dyDescent="0.25">
      <c r="A550" s="1624" t="s">
        <v>2339</v>
      </c>
      <c r="B550" s="564"/>
      <c r="C550" s="2430" t="s">
        <v>480</v>
      </c>
      <c r="D550" s="435" t="s">
        <v>1119</v>
      </c>
      <c r="E550" s="427"/>
      <c r="F550" s="1624" t="s">
        <v>2336</v>
      </c>
      <c r="G550" s="581"/>
      <c r="H550" s="2430" t="s">
        <v>480</v>
      </c>
      <c r="I550" s="521" t="s">
        <v>1119</v>
      </c>
      <c r="J550" s="429"/>
      <c r="K550" s="2443"/>
    </row>
    <row r="551" spans="1:11" ht="18" customHeight="1" x14ac:dyDescent="0.25">
      <c r="A551" s="4759" t="s">
        <v>2792</v>
      </c>
      <c r="B551" s="4739" t="s">
        <v>40</v>
      </c>
      <c r="C551" s="670">
        <v>3231.7</v>
      </c>
      <c r="D551" s="458">
        <v>7504785</v>
      </c>
      <c r="E551" s="427"/>
      <c r="F551" s="523" t="s">
        <v>2621</v>
      </c>
      <c r="G551" s="596"/>
      <c r="H551" s="670">
        <v>4251.6000000000004</v>
      </c>
      <c r="I551" s="458">
        <v>11299510</v>
      </c>
      <c r="J551" s="429"/>
      <c r="K551" s="2443"/>
    </row>
    <row r="552" spans="1:11" ht="18" customHeight="1" x14ac:dyDescent="0.25">
      <c r="A552" s="1773" t="s">
        <v>2478</v>
      </c>
      <c r="B552" s="4740" t="s">
        <v>40</v>
      </c>
      <c r="C552" s="658">
        <v>2887.96</v>
      </c>
      <c r="D552" s="1792">
        <v>7522042</v>
      </c>
      <c r="E552" s="429"/>
      <c r="F552" s="2974" t="s">
        <v>2469</v>
      </c>
      <c r="G552" s="1687" t="s">
        <v>40</v>
      </c>
      <c r="H552" s="658">
        <v>2143.2800000000002</v>
      </c>
      <c r="I552" s="438">
        <v>11391964</v>
      </c>
      <c r="J552" s="427"/>
      <c r="K552" s="2443"/>
    </row>
    <row r="553" spans="1:11" ht="18" customHeight="1" x14ac:dyDescent="0.25">
      <c r="A553" s="2976" t="s">
        <v>2469</v>
      </c>
      <c r="B553" s="4740" t="s">
        <v>40</v>
      </c>
      <c r="C553" s="658">
        <v>3353.75</v>
      </c>
      <c r="D553" s="1792">
        <v>7648009</v>
      </c>
      <c r="E553" s="429"/>
      <c r="F553" s="1488" t="s">
        <v>2482</v>
      </c>
      <c r="G553" s="2396" t="s">
        <v>40</v>
      </c>
      <c r="H553" s="697">
        <v>1493.07</v>
      </c>
      <c r="I553" s="1792">
        <v>11431266</v>
      </c>
      <c r="J553" s="427"/>
      <c r="K553" s="2443"/>
    </row>
    <row r="554" spans="1:11" ht="18" customHeight="1" x14ac:dyDescent="0.25">
      <c r="A554" s="3286" t="s">
        <v>2482</v>
      </c>
      <c r="B554" s="575" t="s">
        <v>40</v>
      </c>
      <c r="C554" s="3191">
        <v>3704.06</v>
      </c>
      <c r="D554" s="3195">
        <v>7677417</v>
      </c>
      <c r="E554" s="429"/>
      <c r="F554" s="3290" t="s">
        <v>2629</v>
      </c>
      <c r="G554" s="3194"/>
      <c r="H554" s="3191">
        <v>371.4</v>
      </c>
      <c r="I554" s="3195">
        <v>11438794</v>
      </c>
      <c r="J554" s="427"/>
      <c r="K554" s="2443"/>
    </row>
    <row r="555" spans="1:11" ht="18" customHeight="1" x14ac:dyDescent="0.25">
      <c r="A555" s="3286" t="s">
        <v>2483</v>
      </c>
      <c r="B555" s="3188" t="s">
        <v>40</v>
      </c>
      <c r="C555" s="657">
        <v>3148.8</v>
      </c>
      <c r="D555" s="3016">
        <v>7683082</v>
      </c>
      <c r="E555" s="429"/>
      <c r="F555" s="3038" t="s">
        <v>2630</v>
      </c>
      <c r="G555" s="1835"/>
      <c r="H555" s="657">
        <v>382.1</v>
      </c>
      <c r="I555" s="3016">
        <v>11438794</v>
      </c>
      <c r="J555" s="427"/>
      <c r="K555" s="2443"/>
    </row>
    <row r="556" spans="1:11" ht="18" customHeight="1" x14ac:dyDescent="0.25">
      <c r="A556" s="2957" t="s">
        <v>2630</v>
      </c>
      <c r="B556" s="3015"/>
      <c r="C556" s="657">
        <v>672.2</v>
      </c>
      <c r="D556" s="3016">
        <v>7771434</v>
      </c>
      <c r="E556" s="429"/>
      <c r="F556" s="4748" t="s">
        <v>2792</v>
      </c>
      <c r="G556" s="3097" t="s">
        <v>40</v>
      </c>
      <c r="H556" s="657">
        <v>1821.9</v>
      </c>
      <c r="I556" s="3016">
        <v>11444726</v>
      </c>
      <c r="J556" s="427"/>
      <c r="K556" s="2443"/>
    </row>
    <row r="557" spans="1:11" ht="18" customHeight="1" x14ac:dyDescent="0.25">
      <c r="A557" s="2957" t="s">
        <v>2629</v>
      </c>
      <c r="B557" s="3015"/>
      <c r="C557" s="657">
        <v>872.7</v>
      </c>
      <c r="D557" s="3016">
        <v>7771762</v>
      </c>
      <c r="E557" s="429"/>
      <c r="F557" s="1688" t="s">
        <v>2478</v>
      </c>
      <c r="G557" s="3097" t="s">
        <v>40</v>
      </c>
      <c r="H557" s="657">
        <v>1772.82</v>
      </c>
      <c r="I557" s="3016">
        <v>11451985</v>
      </c>
      <c r="J557" s="427"/>
      <c r="K557" s="2443"/>
    </row>
    <row r="558" spans="1:11" ht="18" customHeight="1" x14ac:dyDescent="0.25">
      <c r="A558" s="2437" t="s">
        <v>2479</v>
      </c>
      <c r="B558" s="2043" t="s">
        <v>40</v>
      </c>
      <c r="C558" s="658">
        <v>2840.37</v>
      </c>
      <c r="D558" s="1792">
        <v>7779437</v>
      </c>
      <c r="E558" s="429"/>
      <c r="F558" s="2437" t="s">
        <v>2483</v>
      </c>
      <c r="G558" s="2043" t="s">
        <v>40</v>
      </c>
      <c r="H558" s="697">
        <v>1255.8</v>
      </c>
      <c r="I558" s="1793">
        <v>11478017</v>
      </c>
      <c r="J558" s="427"/>
      <c r="K558" s="2443"/>
    </row>
    <row r="559" spans="1:11" ht="18" customHeight="1" x14ac:dyDescent="0.25">
      <c r="A559" s="2954" t="s">
        <v>2621</v>
      </c>
      <c r="B559" s="2403"/>
      <c r="C559" s="658">
        <v>525.29999999999995</v>
      </c>
      <c r="D559" s="1792">
        <v>7831345</v>
      </c>
      <c r="E559" s="429"/>
      <c r="F559" s="1375" t="s">
        <v>2479</v>
      </c>
      <c r="G559" s="1835" t="s">
        <v>40</v>
      </c>
      <c r="H559" s="697">
        <v>1160.07</v>
      </c>
      <c r="I559" s="1793">
        <v>11511242</v>
      </c>
      <c r="J559" s="427"/>
      <c r="K559" s="2443"/>
    </row>
    <row r="560" spans="1:11" ht="18" customHeight="1" x14ac:dyDescent="0.25">
      <c r="A560" s="2957" t="s">
        <v>2623</v>
      </c>
      <c r="B560" s="582"/>
      <c r="C560" s="657">
        <v>353.1</v>
      </c>
      <c r="D560" s="1792">
        <v>7926364</v>
      </c>
      <c r="E560" s="429"/>
      <c r="F560" s="4651" t="s">
        <v>2495</v>
      </c>
      <c r="G560" s="335" t="s">
        <v>40</v>
      </c>
      <c r="H560" s="658">
        <v>189.15</v>
      </c>
      <c r="I560" s="438">
        <v>11521852</v>
      </c>
      <c r="J560" s="429"/>
      <c r="K560" s="2443"/>
    </row>
    <row r="561" spans="1:11" ht="18" customHeight="1" x14ac:dyDescent="0.25">
      <c r="A561" s="1390" t="s">
        <v>2631</v>
      </c>
      <c r="B561" s="582"/>
      <c r="C561" s="658">
        <v>565.1</v>
      </c>
      <c r="D561" s="1792">
        <v>7954937</v>
      </c>
      <c r="E561" s="429"/>
      <c r="F561" s="1390" t="s">
        <v>2631</v>
      </c>
      <c r="G561" s="1803"/>
      <c r="H561" s="658">
        <v>243.9</v>
      </c>
      <c r="I561" s="1792">
        <v>11526901</v>
      </c>
      <c r="J561" s="429"/>
      <c r="K561" s="2443"/>
    </row>
    <row r="562" spans="1:11" ht="18" customHeight="1" x14ac:dyDescent="0.25">
      <c r="A562" s="493" t="s">
        <v>2634</v>
      </c>
      <c r="B562" s="583"/>
      <c r="C562" s="658">
        <v>552.5</v>
      </c>
      <c r="D562" s="438">
        <v>7957477</v>
      </c>
      <c r="E562" s="429"/>
      <c r="F562" s="1726" t="s">
        <v>2634</v>
      </c>
      <c r="G562" s="1752"/>
      <c r="H562" s="658">
        <v>262.7</v>
      </c>
      <c r="I562" s="1754">
        <v>11529578</v>
      </c>
      <c r="J562" s="429"/>
      <c r="K562" s="2443"/>
    </row>
    <row r="563" spans="1:11" ht="18" customHeight="1" x14ac:dyDescent="0.25">
      <c r="A563" s="2967" t="s">
        <v>2632</v>
      </c>
      <c r="B563" s="2396"/>
      <c r="C563" s="658">
        <v>504.7</v>
      </c>
      <c r="D563" s="1792">
        <v>7958047</v>
      </c>
      <c r="E563" s="429"/>
      <c r="F563" s="2967" t="s">
        <v>2632</v>
      </c>
      <c r="G563" s="2395"/>
      <c r="H563" s="658">
        <v>258.8</v>
      </c>
      <c r="I563" s="1792">
        <v>11529973</v>
      </c>
      <c r="J563" s="429"/>
      <c r="K563" s="2443"/>
    </row>
    <row r="564" spans="1:11" ht="18" customHeight="1" x14ac:dyDescent="0.25">
      <c r="A564" s="2957" t="s">
        <v>2637</v>
      </c>
      <c r="B564" s="335"/>
      <c r="C564" s="658">
        <v>497.4</v>
      </c>
      <c r="D564" s="1754">
        <v>7958047</v>
      </c>
      <c r="E564" s="429"/>
      <c r="F564" s="2962" t="s">
        <v>2637</v>
      </c>
      <c r="G564" s="1803"/>
      <c r="H564" s="658">
        <v>338.9</v>
      </c>
      <c r="I564" s="1792">
        <v>11529973</v>
      </c>
      <c r="J564" s="429"/>
      <c r="K564" s="2443"/>
    </row>
    <row r="565" spans="1:11" ht="18" customHeight="1" x14ac:dyDescent="0.25">
      <c r="A565" s="2971" t="s">
        <v>2633</v>
      </c>
      <c r="B565" s="2043"/>
      <c r="C565" s="658">
        <v>479.9</v>
      </c>
      <c r="D565" s="1792">
        <v>7958047</v>
      </c>
      <c r="E565" s="429"/>
      <c r="F565" s="3290" t="s">
        <v>2633</v>
      </c>
      <c r="G565" s="3188"/>
      <c r="H565" s="658">
        <v>302.8</v>
      </c>
      <c r="I565" s="1792">
        <v>11529973</v>
      </c>
      <c r="J565" s="429"/>
      <c r="K565" s="2443"/>
    </row>
    <row r="566" spans="1:11" ht="18" customHeight="1" x14ac:dyDescent="0.25">
      <c r="A566" s="4654" t="s">
        <v>2495</v>
      </c>
      <c r="B566" s="335" t="s">
        <v>40</v>
      </c>
      <c r="C566" s="658">
        <v>277.83999999999997</v>
      </c>
      <c r="D566" s="438">
        <v>7959221</v>
      </c>
      <c r="E566" s="429"/>
      <c r="F566" s="1488" t="s">
        <v>2002</v>
      </c>
      <c r="G566" s="585" t="s">
        <v>40</v>
      </c>
      <c r="H566" s="698">
        <v>185.1</v>
      </c>
      <c r="I566" s="483">
        <v>11557502</v>
      </c>
      <c r="J566" s="429"/>
      <c r="K566" s="2443"/>
    </row>
    <row r="567" spans="1:11" ht="18" customHeight="1" x14ac:dyDescent="0.25">
      <c r="A567" s="1773" t="s">
        <v>2002</v>
      </c>
      <c r="B567" s="1790" t="s">
        <v>40</v>
      </c>
      <c r="C567" s="658">
        <v>388.52</v>
      </c>
      <c r="D567" s="1792">
        <v>7961065</v>
      </c>
      <c r="E567" s="429"/>
      <c r="F567" s="2957" t="s">
        <v>2623</v>
      </c>
      <c r="G567" s="2043"/>
      <c r="H567" s="697">
        <v>223.3</v>
      </c>
      <c r="I567" s="1793">
        <v>11574969</v>
      </c>
      <c r="J567" s="429"/>
      <c r="K567" s="2443"/>
    </row>
    <row r="568" spans="1:11" ht="18" customHeight="1" x14ac:dyDescent="0.25">
      <c r="A568" s="1390" t="s">
        <v>748</v>
      </c>
      <c r="B568" s="1803" t="s">
        <v>40</v>
      </c>
      <c r="C568" s="658">
        <v>325.83999999999997</v>
      </c>
      <c r="D568" s="1792">
        <v>7961065</v>
      </c>
      <c r="E568" s="429"/>
      <c r="F568" s="1390" t="s">
        <v>748</v>
      </c>
      <c r="G568" s="2043" t="s">
        <v>40</v>
      </c>
      <c r="H568" s="658">
        <v>227.28</v>
      </c>
      <c r="I568" s="1792">
        <v>11576707</v>
      </c>
      <c r="J568" s="429"/>
      <c r="K568" s="2443"/>
    </row>
    <row r="569" spans="1:11" ht="18" customHeight="1" x14ac:dyDescent="0.25">
      <c r="A569" s="1760" t="s">
        <v>1826</v>
      </c>
      <c r="B569" s="2043" t="s">
        <v>40</v>
      </c>
      <c r="C569" s="658">
        <v>26.58</v>
      </c>
      <c r="D569" s="1792">
        <v>8104665</v>
      </c>
      <c r="E569" s="429"/>
      <c r="F569" s="1390" t="s">
        <v>1792</v>
      </c>
      <c r="G569" s="2047"/>
      <c r="H569" s="658">
        <v>25.75</v>
      </c>
      <c r="I569" s="1792">
        <v>11862803</v>
      </c>
      <c r="J569" s="429"/>
      <c r="K569" s="2443"/>
    </row>
    <row r="570" spans="1:11" ht="18" customHeight="1" x14ac:dyDescent="0.25">
      <c r="A570" s="1390" t="s">
        <v>1833</v>
      </c>
      <c r="B570" s="2043" t="s">
        <v>40</v>
      </c>
      <c r="C570" s="658">
        <v>50.03</v>
      </c>
      <c r="D570" s="1792">
        <v>8163936</v>
      </c>
      <c r="E570" s="429"/>
      <c r="F570" s="2966" t="s">
        <v>2558</v>
      </c>
      <c r="G570" s="1384"/>
      <c r="H570" s="697">
        <v>100.8</v>
      </c>
      <c r="I570" s="1684">
        <v>11873077</v>
      </c>
      <c r="J570" s="429"/>
      <c r="K570" s="2443"/>
    </row>
    <row r="571" spans="1:11" ht="18" customHeight="1" x14ac:dyDescent="0.25">
      <c r="A571" s="1469" t="s">
        <v>2026</v>
      </c>
      <c r="B571" s="1790"/>
      <c r="C571" s="658">
        <v>19.8</v>
      </c>
      <c r="D571" s="1792">
        <v>8367240</v>
      </c>
      <c r="E571" s="429"/>
      <c r="F571" s="493" t="s">
        <v>1833</v>
      </c>
      <c r="G571" s="1790" t="s">
        <v>40</v>
      </c>
      <c r="H571" s="658">
        <v>43.122999999999998</v>
      </c>
      <c r="I571" s="1792">
        <v>12225640</v>
      </c>
      <c r="J571" s="429"/>
      <c r="K571" s="2443"/>
    </row>
    <row r="572" spans="1:11" ht="18" customHeight="1" x14ac:dyDescent="0.25">
      <c r="A572" s="2496" t="s">
        <v>2487</v>
      </c>
      <c r="B572" s="585"/>
      <c r="C572" s="657">
        <v>3.65</v>
      </c>
      <c r="D572" s="454">
        <v>8663023</v>
      </c>
      <c r="E572" s="429"/>
      <c r="F572" s="2921" t="s">
        <v>1826</v>
      </c>
      <c r="G572" s="1790" t="s">
        <v>40</v>
      </c>
      <c r="H572" s="658">
        <v>17.597999999999999</v>
      </c>
      <c r="I572" s="1792">
        <v>12236632</v>
      </c>
      <c r="J572" s="429"/>
      <c r="K572" s="2443"/>
    </row>
    <row r="573" spans="1:11" ht="18" customHeight="1" x14ac:dyDescent="0.25">
      <c r="A573" s="1726" t="s">
        <v>1101</v>
      </c>
      <c r="B573" s="3304"/>
      <c r="C573" s="658">
        <v>73.900000000000006</v>
      </c>
      <c r="D573" s="1754">
        <v>8776734</v>
      </c>
      <c r="E573" s="429"/>
      <c r="F573" s="494" t="s">
        <v>2026</v>
      </c>
      <c r="G573" s="585"/>
      <c r="H573" s="658">
        <v>7.46</v>
      </c>
      <c r="I573" s="457">
        <v>12248198</v>
      </c>
      <c r="J573" s="429"/>
      <c r="K573" s="2443"/>
    </row>
    <row r="574" spans="1:11" ht="18" customHeight="1" x14ac:dyDescent="0.25">
      <c r="A574" s="1488" t="s">
        <v>1594</v>
      </c>
      <c r="B574" s="585" t="s">
        <v>40</v>
      </c>
      <c r="C574" s="657">
        <v>3.64</v>
      </c>
      <c r="D574" s="454">
        <v>8780788</v>
      </c>
      <c r="E574" s="427"/>
      <c r="F574" s="533" t="s">
        <v>1116</v>
      </c>
      <c r="G574" s="589"/>
      <c r="H574" s="657">
        <v>12.9</v>
      </c>
      <c r="I574" s="457">
        <v>12286355</v>
      </c>
      <c r="J574" s="429"/>
      <c r="K574" s="2443"/>
    </row>
    <row r="575" spans="1:11" ht="18" customHeight="1" x14ac:dyDescent="0.25">
      <c r="A575" s="2974" t="s">
        <v>2585</v>
      </c>
      <c r="B575" s="335"/>
      <c r="C575" s="657">
        <v>7</v>
      </c>
      <c r="D575" s="457">
        <v>8888560</v>
      </c>
      <c r="E575" s="427"/>
      <c r="F575" s="1688" t="s">
        <v>1101</v>
      </c>
      <c r="G575" s="573"/>
      <c r="H575" s="658">
        <v>78.89</v>
      </c>
      <c r="I575" s="1754">
        <v>12412568</v>
      </c>
      <c r="J575" s="429"/>
      <c r="K575" s="2443"/>
    </row>
    <row r="576" spans="1:11" ht="18" customHeight="1" x14ac:dyDescent="0.25">
      <c r="A576" s="2976" t="s">
        <v>2556</v>
      </c>
      <c r="B576" s="1384"/>
      <c r="C576" s="658">
        <v>59.75</v>
      </c>
      <c r="D576" s="1792">
        <v>9102803</v>
      </c>
      <c r="E576" s="427"/>
      <c r="F576" s="2974" t="s">
        <v>2585</v>
      </c>
      <c r="G576" s="335"/>
      <c r="H576" s="658">
        <v>5</v>
      </c>
      <c r="I576" s="457">
        <v>12457006</v>
      </c>
      <c r="J576" s="429"/>
      <c r="K576" s="2443"/>
    </row>
    <row r="577" spans="1:11" ht="18" customHeight="1" x14ac:dyDescent="0.25">
      <c r="A577" s="1688" t="s">
        <v>1792</v>
      </c>
      <c r="B577" s="570"/>
      <c r="C577" s="658">
        <v>57.57</v>
      </c>
      <c r="D577" s="457">
        <v>9121902</v>
      </c>
      <c r="E577" s="427"/>
      <c r="F577" s="1488" t="s">
        <v>2153</v>
      </c>
      <c r="G577" s="1384"/>
      <c r="H577" s="659">
        <v>357</v>
      </c>
      <c r="I577" s="457">
        <v>12513899</v>
      </c>
      <c r="J577" s="429"/>
      <c r="K577" s="2443"/>
    </row>
    <row r="578" spans="1:11" ht="18" customHeight="1" x14ac:dyDescent="0.25">
      <c r="A578" s="1829" t="s">
        <v>2558</v>
      </c>
      <c r="B578" s="585"/>
      <c r="C578" s="658">
        <v>185</v>
      </c>
      <c r="D578" s="457">
        <v>9259684</v>
      </c>
      <c r="E578" s="427"/>
      <c r="F578" s="511" t="s">
        <v>1594</v>
      </c>
      <c r="G578" s="335" t="s">
        <v>40</v>
      </c>
      <c r="H578" s="658">
        <v>4.1559999999999997</v>
      </c>
      <c r="I578" s="457">
        <v>12601776</v>
      </c>
      <c r="J578" s="429"/>
      <c r="K578" s="2443"/>
    </row>
    <row r="579" spans="1:11" ht="18" customHeight="1" x14ac:dyDescent="0.25">
      <c r="A579" s="494" t="s">
        <v>1758</v>
      </c>
      <c r="B579" s="2046"/>
      <c r="C579" s="658">
        <v>38.99</v>
      </c>
      <c r="D579" s="457">
        <v>9310957</v>
      </c>
      <c r="E579" s="429"/>
      <c r="F579" s="555" t="s">
        <v>1793</v>
      </c>
      <c r="G579" s="1519"/>
      <c r="H579" s="657">
        <v>8.5</v>
      </c>
      <c r="I579" s="454">
        <v>12631228</v>
      </c>
      <c r="J579" s="429"/>
      <c r="K579" s="2443"/>
    </row>
    <row r="580" spans="1:11" ht="18" customHeight="1" x14ac:dyDescent="0.25">
      <c r="A580" s="1387" t="s">
        <v>2153</v>
      </c>
      <c r="B580" s="335"/>
      <c r="C580" s="659">
        <v>767.2</v>
      </c>
      <c r="D580" s="457">
        <v>9392824</v>
      </c>
      <c r="E580" s="429"/>
      <c r="F580" s="499" t="s">
        <v>578</v>
      </c>
      <c r="G580" s="3306" t="s">
        <v>40</v>
      </c>
      <c r="H580" s="657">
        <v>4.4850000000000003</v>
      </c>
      <c r="I580" s="457">
        <v>12694548</v>
      </c>
      <c r="J580" s="429"/>
      <c r="K580" s="2443"/>
    </row>
    <row r="581" spans="1:11" ht="18" customHeight="1" x14ac:dyDescent="0.25">
      <c r="A581" s="495" t="s">
        <v>1790</v>
      </c>
      <c r="B581" s="1519"/>
      <c r="C581" s="657">
        <v>12.36</v>
      </c>
      <c r="D581" s="454">
        <v>9617088</v>
      </c>
      <c r="E581" s="429"/>
      <c r="F581" s="1488" t="s">
        <v>1790</v>
      </c>
      <c r="G581" s="1389"/>
      <c r="H581" s="657">
        <v>6.194</v>
      </c>
      <c r="I581" s="457">
        <v>12807056</v>
      </c>
      <c r="J581" s="429"/>
      <c r="K581" s="2443"/>
    </row>
    <row r="582" spans="1:11" ht="18" customHeight="1" x14ac:dyDescent="0.25">
      <c r="A582" s="2441" t="s">
        <v>2050</v>
      </c>
      <c r="B582" s="571"/>
      <c r="C582" s="657">
        <v>1</v>
      </c>
      <c r="D582" s="453">
        <v>9743260</v>
      </c>
      <c r="E582" s="429"/>
      <c r="F582" s="2313" t="s">
        <v>2190</v>
      </c>
      <c r="G582" s="1384" t="s">
        <v>40</v>
      </c>
      <c r="H582" s="697">
        <v>9.61</v>
      </c>
      <c r="I582" s="464">
        <v>12860955</v>
      </c>
      <c r="J582" s="429"/>
      <c r="K582" s="2443"/>
    </row>
    <row r="583" spans="1:11" ht="18" customHeight="1" x14ac:dyDescent="0.25">
      <c r="A583" s="499" t="s">
        <v>578</v>
      </c>
      <c r="B583" s="585" t="s">
        <v>40</v>
      </c>
      <c r="C583" s="657">
        <v>4.67</v>
      </c>
      <c r="D583" s="442">
        <v>9799168</v>
      </c>
      <c r="E583" s="429"/>
      <c r="F583" s="1465" t="s">
        <v>921</v>
      </c>
      <c r="G583" s="2440"/>
      <c r="H583" s="658">
        <v>6.6</v>
      </c>
      <c r="I583" s="457">
        <v>12860955</v>
      </c>
      <c r="J583" s="429"/>
      <c r="K583" s="2443"/>
    </row>
    <row r="584" spans="1:11" ht="18" customHeight="1" x14ac:dyDescent="0.25">
      <c r="A584" s="495" t="s">
        <v>1711</v>
      </c>
      <c r="B584" s="1384" t="s">
        <v>40</v>
      </c>
      <c r="C584" s="657">
        <v>2.48</v>
      </c>
      <c r="D584" s="457">
        <v>9942122</v>
      </c>
      <c r="E584" s="429"/>
      <c r="F584" s="1390" t="s">
        <v>575</v>
      </c>
      <c r="G584" s="1395"/>
      <c r="H584" s="658">
        <v>11</v>
      </c>
      <c r="I584" s="457">
        <v>12958381</v>
      </c>
      <c r="J584" s="429"/>
      <c r="K584" s="2443"/>
    </row>
    <row r="585" spans="1:11" ht="18" customHeight="1" x14ac:dyDescent="0.25">
      <c r="A585" s="2437" t="s">
        <v>1768</v>
      </c>
      <c r="B585" s="1386"/>
      <c r="C585" s="658">
        <v>1</v>
      </c>
      <c r="D585" s="457">
        <v>10050157</v>
      </c>
      <c r="E585" s="429"/>
      <c r="F585" s="2983" t="s">
        <v>2217</v>
      </c>
      <c r="G585" s="585"/>
      <c r="H585" s="657">
        <v>20.7</v>
      </c>
      <c r="I585" s="454">
        <v>12958554</v>
      </c>
      <c r="J585" s="429"/>
      <c r="K585" s="2443"/>
    </row>
    <row r="586" spans="1:11" ht="18" customHeight="1" x14ac:dyDescent="0.25">
      <c r="A586" s="2970" t="s">
        <v>2219</v>
      </c>
      <c r="B586" s="1364"/>
      <c r="C586" s="658">
        <v>252.4</v>
      </c>
      <c r="D586" s="457">
        <v>10139686</v>
      </c>
      <c r="E586" s="429"/>
      <c r="F586" s="1390" t="s">
        <v>1767</v>
      </c>
      <c r="G586" s="597"/>
      <c r="H586" s="657">
        <v>3.2</v>
      </c>
      <c r="I586" s="438">
        <v>13013110</v>
      </c>
      <c r="J586" s="429"/>
      <c r="K586" s="2443"/>
    </row>
    <row r="587" spans="1:11" ht="18" customHeight="1" x14ac:dyDescent="0.25">
      <c r="A587" s="3001" t="s">
        <v>2217</v>
      </c>
      <c r="B587" s="1364"/>
      <c r="C587" s="658">
        <v>24.9</v>
      </c>
      <c r="D587" s="457">
        <v>10215789</v>
      </c>
      <c r="E587" s="429"/>
      <c r="F587" s="3305" t="s">
        <v>2134</v>
      </c>
      <c r="G587" s="335"/>
      <c r="H587" s="657">
        <v>17.5</v>
      </c>
      <c r="I587" s="442">
        <v>13031179</v>
      </c>
      <c r="J587" s="429"/>
      <c r="K587" s="2443"/>
    </row>
    <row r="588" spans="1:11" ht="18" customHeight="1" x14ac:dyDescent="0.25">
      <c r="A588" s="493" t="s">
        <v>575</v>
      </c>
      <c r="B588" s="620"/>
      <c r="C588" s="658">
        <v>25.19</v>
      </c>
      <c r="D588" s="455">
        <v>10215863</v>
      </c>
      <c r="E588" s="429"/>
      <c r="F588" s="499" t="s">
        <v>1711</v>
      </c>
      <c r="G588" s="569" t="s">
        <v>40</v>
      </c>
      <c r="H588" s="658">
        <v>4.0439999999999996</v>
      </c>
      <c r="I588" s="455">
        <v>13058626</v>
      </c>
      <c r="J588" s="429"/>
      <c r="K588" s="2443"/>
    </row>
    <row r="589" spans="1:11" ht="18" customHeight="1" x14ac:dyDescent="0.25">
      <c r="A589" s="511" t="s">
        <v>1756</v>
      </c>
      <c r="B589" s="335" t="s">
        <v>40</v>
      </c>
      <c r="C589" s="659">
        <v>30.45</v>
      </c>
      <c r="D589" s="457">
        <v>10379832</v>
      </c>
      <c r="E589" s="429"/>
      <c r="F589" s="1776" t="s">
        <v>2219</v>
      </c>
      <c r="G589" s="335"/>
      <c r="H589" s="658">
        <v>186.71</v>
      </c>
      <c r="I589" s="457">
        <v>13151789</v>
      </c>
      <c r="J589" s="429"/>
      <c r="K589" s="2443"/>
    </row>
    <row r="590" spans="1:11" ht="18" customHeight="1" x14ac:dyDescent="0.25">
      <c r="A590" s="523" t="s">
        <v>1100</v>
      </c>
      <c r="B590" s="335" t="s">
        <v>40</v>
      </c>
      <c r="C590" s="657">
        <v>4.8</v>
      </c>
      <c r="D590" s="456">
        <v>10396166</v>
      </c>
      <c r="E590" s="429"/>
      <c r="F590" s="523" t="s">
        <v>1100</v>
      </c>
      <c r="G590" s="335" t="s">
        <v>40</v>
      </c>
      <c r="H590" s="657">
        <v>4.0999999999999996</v>
      </c>
      <c r="I590" s="456">
        <v>13184268</v>
      </c>
      <c r="J590" s="429"/>
      <c r="K590" s="2443"/>
    </row>
    <row r="591" spans="1:11" ht="18" customHeight="1" x14ac:dyDescent="0.25">
      <c r="A591" s="495" t="s">
        <v>1767</v>
      </c>
      <c r="B591" s="573"/>
      <c r="C591" s="657">
        <v>3.8</v>
      </c>
      <c r="D591" s="454">
        <v>10396290</v>
      </c>
      <c r="E591" s="429"/>
      <c r="F591" s="493" t="s">
        <v>1758</v>
      </c>
      <c r="G591" s="2046"/>
      <c r="H591" s="657">
        <v>38.200000000000003</v>
      </c>
      <c r="I591" s="454">
        <v>13192515</v>
      </c>
      <c r="J591" s="429"/>
      <c r="K591" s="2443"/>
    </row>
    <row r="592" spans="1:11" ht="18" customHeight="1" x14ac:dyDescent="0.25">
      <c r="A592" s="523" t="s">
        <v>2190</v>
      </c>
      <c r="B592" s="335" t="s">
        <v>40</v>
      </c>
      <c r="C592" s="658">
        <v>5.9</v>
      </c>
      <c r="D592" s="455">
        <v>10397031</v>
      </c>
      <c r="E592" s="429"/>
      <c r="F592" s="1372" t="s">
        <v>2050</v>
      </c>
      <c r="G592" s="335"/>
      <c r="H592" s="658">
        <v>4</v>
      </c>
      <c r="I592" s="463">
        <v>13238980</v>
      </c>
      <c r="J592" s="429"/>
      <c r="K592" s="2443"/>
    </row>
    <row r="593" spans="1:11" ht="18" customHeight="1" x14ac:dyDescent="0.25">
      <c r="A593" s="493" t="s">
        <v>921</v>
      </c>
      <c r="B593" s="1789"/>
      <c r="C593" s="658">
        <v>5.9</v>
      </c>
      <c r="D593" s="455">
        <v>10397031</v>
      </c>
      <c r="E593" s="429"/>
      <c r="F593" s="493" t="s">
        <v>1756</v>
      </c>
      <c r="G593" s="571" t="s">
        <v>40</v>
      </c>
      <c r="H593" s="659">
        <v>9.66</v>
      </c>
      <c r="I593" s="455">
        <v>13437765</v>
      </c>
      <c r="J593" s="429"/>
      <c r="K593" s="2443"/>
    </row>
    <row r="594" spans="1:11" ht="18" customHeight="1" x14ac:dyDescent="0.25">
      <c r="A594" s="2498" t="s">
        <v>2626</v>
      </c>
      <c r="B594" s="573"/>
      <c r="C594" s="659">
        <v>2.1389999999999998</v>
      </c>
      <c r="D594" s="440">
        <v>10498272</v>
      </c>
      <c r="E594" s="429"/>
      <c r="F594" s="2986" t="s">
        <v>2556</v>
      </c>
      <c r="G594" s="335"/>
      <c r="H594" s="697">
        <v>30.23</v>
      </c>
      <c r="I594" s="438">
        <v>13516967</v>
      </c>
      <c r="J594" s="429"/>
      <c r="K594" s="2443"/>
    </row>
    <row r="595" spans="1:11" ht="18" customHeight="1" x14ac:dyDescent="0.25">
      <c r="A595" s="2313" t="s">
        <v>2152</v>
      </c>
      <c r="B595" s="335" t="s">
        <v>40</v>
      </c>
      <c r="C595" s="659">
        <v>11</v>
      </c>
      <c r="D595" s="438">
        <v>10635849</v>
      </c>
      <c r="E595" s="429"/>
      <c r="F595" s="523" t="s">
        <v>2152</v>
      </c>
      <c r="G595" s="335" t="s">
        <v>40</v>
      </c>
      <c r="H595" s="659">
        <v>3</v>
      </c>
      <c r="I595" s="438">
        <v>13533522</v>
      </c>
      <c r="J595" s="429"/>
      <c r="K595" s="2443"/>
    </row>
    <row r="596" spans="1:11" ht="18" customHeight="1" x14ac:dyDescent="0.25">
      <c r="A596" s="524" t="s">
        <v>1102</v>
      </c>
      <c r="B596" s="335" t="s">
        <v>40</v>
      </c>
      <c r="C596" s="1771">
        <v>11</v>
      </c>
      <c r="D596" s="457">
        <v>10663178</v>
      </c>
      <c r="E596" s="429"/>
      <c r="F596" s="2438" t="s">
        <v>1102</v>
      </c>
      <c r="G596" s="579" t="s">
        <v>40</v>
      </c>
      <c r="H596" s="663">
        <v>3</v>
      </c>
      <c r="I596" s="333">
        <v>13600918</v>
      </c>
      <c r="J596" s="429"/>
      <c r="K596" s="2443"/>
    </row>
    <row r="597" spans="1:11" ht="18" customHeight="1" x14ac:dyDescent="0.25">
      <c r="A597" s="2985" t="s">
        <v>2134</v>
      </c>
      <c r="B597" s="335"/>
      <c r="C597" s="658">
        <v>24.32</v>
      </c>
      <c r="D597" s="438">
        <v>10672266</v>
      </c>
      <c r="E597" s="429"/>
      <c r="F597" s="500" t="s">
        <v>2346</v>
      </c>
      <c r="G597" s="579" t="s">
        <v>40</v>
      </c>
      <c r="H597" s="658">
        <v>57.1</v>
      </c>
      <c r="I597" s="438">
        <v>13715884</v>
      </c>
      <c r="J597" s="429"/>
      <c r="K597" s="2443"/>
    </row>
    <row r="598" spans="1:11" ht="18" customHeight="1" x14ac:dyDescent="0.25">
      <c r="A598" s="518" t="s">
        <v>1793</v>
      </c>
      <c r="B598" s="2482"/>
      <c r="C598" s="658">
        <v>11.55</v>
      </c>
      <c r="D598" s="239">
        <v>10703295</v>
      </c>
      <c r="E598" s="429"/>
      <c r="F598" s="2498" t="s">
        <v>2636</v>
      </c>
      <c r="G598" s="335" t="s">
        <v>40</v>
      </c>
      <c r="H598" s="658">
        <v>3.9</v>
      </c>
      <c r="I598" s="438">
        <v>13755357</v>
      </c>
      <c r="J598" s="429"/>
      <c r="K598" s="2443"/>
    </row>
    <row r="599" spans="1:11" ht="18" customHeight="1" x14ac:dyDescent="0.25">
      <c r="A599" s="500" t="s">
        <v>1759</v>
      </c>
      <c r="B599" s="573"/>
      <c r="C599" s="661">
        <v>17</v>
      </c>
      <c r="D599" s="459">
        <v>11280553</v>
      </c>
      <c r="E599" s="429"/>
      <c r="F599" s="497" t="s">
        <v>1959</v>
      </c>
      <c r="G599" s="573"/>
      <c r="H599" s="658">
        <v>0.76</v>
      </c>
      <c r="I599" s="239">
        <v>14054883</v>
      </c>
      <c r="J599" s="429"/>
      <c r="K599" s="2443"/>
    </row>
    <row r="600" spans="1:11" ht="18" customHeight="1" x14ac:dyDescent="0.25">
      <c r="A600" s="495" t="s">
        <v>2346</v>
      </c>
      <c r="B600" s="335" t="s">
        <v>40</v>
      </c>
      <c r="C600" s="658">
        <v>96.95</v>
      </c>
      <c r="D600" s="438">
        <v>11845183</v>
      </c>
      <c r="E600" s="423"/>
      <c r="F600" s="497" t="s">
        <v>1768</v>
      </c>
      <c r="G600" s="573"/>
      <c r="H600" s="671">
        <v>1</v>
      </c>
      <c r="I600" s="459">
        <v>14072781</v>
      </c>
      <c r="J600" s="429"/>
      <c r="K600" s="2443"/>
    </row>
    <row r="601" spans="1:11" ht="18" customHeight="1" x14ac:dyDescent="0.25">
      <c r="A601" s="2313" t="s">
        <v>2636</v>
      </c>
      <c r="B601" s="590" t="s">
        <v>40</v>
      </c>
      <c r="C601" s="658">
        <v>18</v>
      </c>
      <c r="D601" s="438">
        <v>12486595</v>
      </c>
      <c r="E601" s="429"/>
      <c r="F601" s="2313" t="s">
        <v>2626</v>
      </c>
      <c r="G601" s="573"/>
      <c r="H601" s="659">
        <v>1.6</v>
      </c>
      <c r="I601" s="440">
        <v>14073062</v>
      </c>
      <c r="J601" s="429"/>
      <c r="K601" s="2443"/>
    </row>
    <row r="602" spans="1:11" ht="18" customHeight="1" x14ac:dyDescent="0.25">
      <c r="A602" s="1390" t="s">
        <v>2625</v>
      </c>
      <c r="B602" s="335" t="s">
        <v>40</v>
      </c>
      <c r="C602" s="658">
        <v>9.5</v>
      </c>
      <c r="D602" s="1792">
        <v>14273790</v>
      </c>
      <c r="E602" s="429"/>
      <c r="F602" s="1390" t="s">
        <v>1759</v>
      </c>
      <c r="G602" s="573"/>
      <c r="H602" s="659">
        <v>11</v>
      </c>
      <c r="I602" s="1792">
        <v>14134001</v>
      </c>
      <c r="J602" s="423"/>
      <c r="K602" s="2443"/>
    </row>
    <row r="603" spans="1:11" ht="18" customHeight="1" x14ac:dyDescent="0.25">
      <c r="A603" s="497" t="s">
        <v>1959</v>
      </c>
      <c r="B603" s="576"/>
      <c r="C603" s="658">
        <v>1.86</v>
      </c>
      <c r="D603" s="438">
        <v>14282247</v>
      </c>
      <c r="E603" s="429"/>
      <c r="F603" s="1488" t="s">
        <v>2625</v>
      </c>
      <c r="G603" s="1752" t="s">
        <v>40</v>
      </c>
      <c r="H603" s="659">
        <v>3.39</v>
      </c>
      <c r="I603" s="1753">
        <v>14217103</v>
      </c>
      <c r="J603" s="429"/>
      <c r="K603" s="2443"/>
    </row>
    <row r="604" spans="1:11" ht="18" customHeight="1" x14ac:dyDescent="0.25">
      <c r="A604" s="498" t="s">
        <v>503</v>
      </c>
      <c r="B604" s="627"/>
      <c r="C604" s="658"/>
      <c r="D604" s="438">
        <v>25001440</v>
      </c>
      <c r="E604" s="429"/>
      <c r="F604" s="518" t="s">
        <v>503</v>
      </c>
      <c r="G604" s="627"/>
      <c r="H604" s="658"/>
      <c r="I604" s="438">
        <v>14337044</v>
      </c>
      <c r="J604" s="429"/>
      <c r="K604" s="2443"/>
    </row>
    <row r="605" spans="1:11" ht="18" customHeight="1" x14ac:dyDescent="0.25">
      <c r="A605" s="493" t="s">
        <v>2344</v>
      </c>
      <c r="B605" s="592"/>
      <c r="C605" s="658"/>
      <c r="D605" s="453" t="s">
        <v>482</v>
      </c>
      <c r="E605" s="427"/>
      <c r="F605" s="2457" t="s">
        <v>2145</v>
      </c>
      <c r="G605" s="570"/>
      <c r="H605" s="657">
        <v>116</v>
      </c>
      <c r="I605" s="1504">
        <v>15123240</v>
      </c>
      <c r="J605" s="429"/>
      <c r="K605" s="2443"/>
    </row>
    <row r="606" spans="1:11" ht="18" customHeight="1" x14ac:dyDescent="0.25">
      <c r="A606" s="2441" t="s">
        <v>2145</v>
      </c>
      <c r="B606" s="602"/>
      <c r="C606" s="658"/>
      <c r="D606" s="453"/>
      <c r="E606" s="429"/>
      <c r="F606" s="2448" t="s">
        <v>2148</v>
      </c>
      <c r="G606" s="601"/>
      <c r="H606" s="658">
        <v>7</v>
      </c>
      <c r="I606" s="453">
        <v>18256882</v>
      </c>
      <c r="J606" s="429"/>
      <c r="K606" s="2443"/>
    </row>
    <row r="607" spans="1:11" ht="18" customHeight="1" x14ac:dyDescent="0.25">
      <c r="A607" s="2441" t="s">
        <v>2148</v>
      </c>
      <c r="B607" s="335"/>
      <c r="C607" s="658"/>
      <c r="D607" s="453"/>
      <c r="E607" s="427"/>
      <c r="F607" s="2459" t="s">
        <v>2146</v>
      </c>
      <c r="G607" s="602"/>
      <c r="H607" s="658">
        <v>5</v>
      </c>
      <c r="I607" s="453">
        <v>21981049</v>
      </c>
      <c r="J607" s="427"/>
      <c r="K607" s="2443"/>
    </row>
    <row r="608" spans="1:11" ht="18" customHeight="1" x14ac:dyDescent="0.25">
      <c r="A608" s="2441" t="s">
        <v>2146</v>
      </c>
      <c r="B608" s="628"/>
      <c r="C608" s="658"/>
      <c r="D608" s="453"/>
      <c r="E608" s="429"/>
      <c r="F608" s="2447" t="s">
        <v>2147</v>
      </c>
      <c r="G608" s="592"/>
      <c r="H608" s="658">
        <v>3</v>
      </c>
      <c r="I608" s="453">
        <v>27094940</v>
      </c>
      <c r="J608" s="429"/>
      <c r="K608" s="2443"/>
    </row>
    <row r="609" spans="1:11" ht="18" customHeight="1" x14ac:dyDescent="0.25">
      <c r="A609" s="2466" t="s">
        <v>2147</v>
      </c>
      <c r="B609" s="1462"/>
      <c r="C609" s="658"/>
      <c r="D609" s="1464"/>
      <c r="E609" s="429"/>
      <c r="F609" s="523" t="s">
        <v>2487</v>
      </c>
      <c r="G609" s="335"/>
      <c r="H609" s="658"/>
      <c r="I609" s="453" t="s">
        <v>482</v>
      </c>
      <c r="J609" s="429"/>
      <c r="K609" s="2443"/>
    </row>
    <row r="610" spans="1:11" ht="18" customHeight="1" x14ac:dyDescent="0.25">
      <c r="A610" s="2065"/>
      <c r="B610" s="1462"/>
      <c r="C610" s="664"/>
      <c r="D610" s="1464"/>
      <c r="E610" s="429"/>
      <c r="F610" s="2065" t="s">
        <v>2344</v>
      </c>
      <c r="G610" s="2072"/>
      <c r="H610" s="2073"/>
      <c r="I610" s="2074" t="s">
        <v>482</v>
      </c>
      <c r="J610" s="429"/>
      <c r="K610" s="2443"/>
    </row>
    <row r="611" spans="1:11" ht="18" customHeight="1" x14ac:dyDescent="0.25">
      <c r="A611" s="142"/>
      <c r="B611" s="562"/>
      <c r="C611" s="677"/>
      <c r="D611" s="177"/>
      <c r="E611" s="429"/>
      <c r="F611" s="2070"/>
      <c r="G611" s="2060"/>
      <c r="H611" s="2061"/>
      <c r="I611" s="2062"/>
      <c r="J611" s="429"/>
      <c r="K611" s="2443"/>
    </row>
    <row r="612" spans="1:11" ht="18" customHeight="1" x14ac:dyDescent="0.25">
      <c r="A612" s="525"/>
      <c r="B612" s="449"/>
      <c r="C612" s="669"/>
      <c r="D612" s="177"/>
      <c r="E612" s="429"/>
      <c r="F612" s="525"/>
      <c r="G612" s="575"/>
      <c r="H612" s="685"/>
      <c r="I612" s="229"/>
      <c r="J612" s="429"/>
      <c r="K612" s="2443"/>
    </row>
    <row r="613" spans="1:11" ht="18" customHeight="1" x14ac:dyDescent="0.25">
      <c r="A613" s="525"/>
      <c r="B613" s="449"/>
      <c r="C613" s="669"/>
      <c r="D613" s="177"/>
      <c r="E613" s="429"/>
      <c r="F613" s="525"/>
      <c r="G613" s="575"/>
      <c r="H613" s="685"/>
      <c r="I613" s="229"/>
      <c r="J613" s="432"/>
      <c r="K613" s="2443"/>
    </row>
    <row r="614" spans="1:11" ht="24" customHeight="1" x14ac:dyDescent="0.25">
      <c r="A614" s="1624" t="s">
        <v>2337</v>
      </c>
      <c r="B614" s="595"/>
      <c r="C614" s="2430" t="s">
        <v>480</v>
      </c>
      <c r="D614" s="435" t="s">
        <v>1119</v>
      </c>
      <c r="E614" s="429"/>
      <c r="F614" s="1624" t="s">
        <v>2338</v>
      </c>
      <c r="G614" s="595"/>
      <c r="H614" s="2430" t="s">
        <v>480</v>
      </c>
      <c r="I614" s="435" t="s">
        <v>1118</v>
      </c>
      <c r="J614" s="429"/>
      <c r="K614" s="2443"/>
    </row>
    <row r="615" spans="1:11" ht="18" customHeight="1" x14ac:dyDescent="0.25">
      <c r="A615" s="2976" t="s">
        <v>2621</v>
      </c>
      <c r="B615" s="596"/>
      <c r="C615" s="670">
        <v>365.9</v>
      </c>
      <c r="D615" s="458">
        <v>11568422</v>
      </c>
      <c r="E615" s="429"/>
      <c r="F615" s="4723" t="s">
        <v>2631</v>
      </c>
      <c r="G615" s="596"/>
      <c r="H615" s="670">
        <v>531</v>
      </c>
      <c r="I615" s="458">
        <v>19839942</v>
      </c>
      <c r="J615" s="429"/>
      <c r="K615" s="2443"/>
    </row>
    <row r="616" spans="1:11" ht="18" customHeight="1" x14ac:dyDescent="0.25">
      <c r="A616" s="493" t="s">
        <v>2631</v>
      </c>
      <c r="B616" s="583"/>
      <c r="C616" s="658">
        <v>189.9</v>
      </c>
      <c r="D616" s="438">
        <v>11588151</v>
      </c>
      <c r="E616" s="429"/>
      <c r="F616" s="523" t="s">
        <v>2621</v>
      </c>
      <c r="G616" s="583"/>
      <c r="H616" s="658">
        <v>1017.8</v>
      </c>
      <c r="I616" s="438">
        <v>19944360</v>
      </c>
      <c r="J616" s="429"/>
      <c r="K616" s="2443"/>
    </row>
    <row r="617" spans="1:11" ht="18" customHeight="1" x14ac:dyDescent="0.25">
      <c r="A617" s="495" t="s">
        <v>2634</v>
      </c>
      <c r="B617" s="585"/>
      <c r="C617" s="657">
        <v>207.4</v>
      </c>
      <c r="D617" s="454">
        <v>11589194</v>
      </c>
      <c r="E617" s="429"/>
      <c r="F617" s="2496" t="s">
        <v>2469</v>
      </c>
      <c r="G617" s="2052" t="s">
        <v>40</v>
      </c>
      <c r="H617" s="657">
        <v>5727.44</v>
      </c>
      <c r="I617" s="454">
        <v>20113436</v>
      </c>
      <c r="J617" s="429"/>
      <c r="K617" s="2443"/>
    </row>
    <row r="618" spans="1:11" ht="18" customHeight="1" x14ac:dyDescent="0.25">
      <c r="A618" s="2857" t="s">
        <v>2632</v>
      </c>
      <c r="B618" s="2043"/>
      <c r="C618" s="658">
        <v>241.7</v>
      </c>
      <c r="D618" s="1792">
        <v>11645715</v>
      </c>
      <c r="E618" s="429"/>
      <c r="F618" s="4749" t="s">
        <v>2792</v>
      </c>
      <c r="G618" s="2850" t="s">
        <v>40</v>
      </c>
      <c r="H618" s="658">
        <v>5973.4</v>
      </c>
      <c r="I618" s="1792">
        <v>20197217</v>
      </c>
      <c r="J618" s="429"/>
      <c r="K618" s="2443"/>
    </row>
    <row r="619" spans="1:11" ht="18" customHeight="1" x14ac:dyDescent="0.25">
      <c r="A619" s="3290" t="s">
        <v>2630</v>
      </c>
      <c r="B619" s="3194"/>
      <c r="C619" s="3191">
        <v>164.7</v>
      </c>
      <c r="D619" s="3195">
        <v>12158117</v>
      </c>
      <c r="E619" s="429"/>
      <c r="F619" s="3286" t="s">
        <v>2478</v>
      </c>
      <c r="G619" s="4737" t="s">
        <v>40</v>
      </c>
      <c r="H619" s="3191">
        <v>5485.03</v>
      </c>
      <c r="I619" s="3195">
        <v>20211073</v>
      </c>
      <c r="J619" s="429"/>
      <c r="K619" s="2443"/>
    </row>
    <row r="620" spans="1:11" ht="18" customHeight="1" x14ac:dyDescent="0.25">
      <c r="A620" s="3038" t="s">
        <v>2633</v>
      </c>
      <c r="B620" s="1835"/>
      <c r="C620" s="657">
        <v>151.4</v>
      </c>
      <c r="D620" s="3016">
        <v>12159605</v>
      </c>
      <c r="E620" s="429"/>
      <c r="F620" s="3032" t="s">
        <v>2482</v>
      </c>
      <c r="G620" s="1835" t="s">
        <v>40</v>
      </c>
      <c r="H620" s="657">
        <v>6824.88</v>
      </c>
      <c r="I620" s="3016">
        <v>20258508</v>
      </c>
      <c r="J620" s="429"/>
      <c r="K620" s="2443"/>
    </row>
    <row r="621" spans="1:11" ht="18" customHeight="1" x14ac:dyDescent="0.25">
      <c r="A621" s="2954" t="s">
        <v>2487</v>
      </c>
      <c r="B621" s="2403"/>
      <c r="C621" s="658">
        <v>2.1789999999999998</v>
      </c>
      <c r="D621" s="1792">
        <v>13202528</v>
      </c>
      <c r="E621" s="429"/>
      <c r="F621" s="2796" t="s">
        <v>2483</v>
      </c>
      <c r="G621" s="2403" t="s">
        <v>40</v>
      </c>
      <c r="H621" s="658">
        <v>6217.5</v>
      </c>
      <c r="I621" s="1792">
        <v>20261732</v>
      </c>
      <c r="J621" s="429"/>
      <c r="K621" s="2443"/>
    </row>
    <row r="622" spans="1:11" ht="18" customHeight="1" x14ac:dyDescent="0.25">
      <c r="A622" s="3307" t="s">
        <v>2157</v>
      </c>
      <c r="B622" s="2395" t="s">
        <v>40</v>
      </c>
      <c r="C622" s="658">
        <v>209.7</v>
      </c>
      <c r="D622" s="1792">
        <v>13445690</v>
      </c>
      <c r="E622" s="429"/>
      <c r="F622" s="3286" t="s">
        <v>2479</v>
      </c>
      <c r="G622" s="3188" t="s">
        <v>40</v>
      </c>
      <c r="H622" s="658">
        <v>4911.2</v>
      </c>
      <c r="I622" s="1792">
        <v>20400542</v>
      </c>
      <c r="J622" s="429"/>
      <c r="K622" s="2443"/>
    </row>
    <row r="623" spans="1:11" ht="18" customHeight="1" x14ac:dyDescent="0.25">
      <c r="A623" s="1778" t="s">
        <v>2156</v>
      </c>
      <c r="B623" s="585" t="s">
        <v>40</v>
      </c>
      <c r="C623" s="657">
        <v>128.5</v>
      </c>
      <c r="D623" s="454">
        <v>13608960</v>
      </c>
      <c r="E623" s="429"/>
      <c r="F623" s="4647" t="s">
        <v>2495</v>
      </c>
      <c r="G623" s="585" t="s">
        <v>40</v>
      </c>
      <c r="H623" s="657">
        <v>621.78</v>
      </c>
      <c r="I623" s="454">
        <v>20517783</v>
      </c>
      <c r="J623" s="429"/>
      <c r="K623" s="2443"/>
    </row>
    <row r="624" spans="1:11" ht="18" customHeight="1" x14ac:dyDescent="0.25">
      <c r="A624" s="2982" t="s">
        <v>2469</v>
      </c>
      <c r="B624" s="4741" t="s">
        <v>40</v>
      </c>
      <c r="C624" s="658">
        <v>2027.22</v>
      </c>
      <c r="D624" s="1792">
        <v>13810890</v>
      </c>
      <c r="E624" s="429"/>
      <c r="F624" s="2967" t="s">
        <v>2623</v>
      </c>
      <c r="G624" s="3310"/>
      <c r="H624" s="658">
        <v>775.6</v>
      </c>
      <c r="I624" s="1792">
        <v>20539284</v>
      </c>
      <c r="J624" s="429"/>
      <c r="K624" s="2443"/>
    </row>
    <row r="625" spans="1:11" ht="18" customHeight="1" x14ac:dyDescent="0.25">
      <c r="A625" s="4760" t="s">
        <v>2792</v>
      </c>
      <c r="B625" s="4733" t="s">
        <v>40</v>
      </c>
      <c r="C625" s="658">
        <v>2488.6</v>
      </c>
      <c r="D625" s="1792">
        <v>14005887</v>
      </c>
      <c r="E625" s="429"/>
      <c r="F625" s="1390" t="s">
        <v>2002</v>
      </c>
      <c r="G625" s="1803" t="s">
        <v>40</v>
      </c>
      <c r="H625" s="658">
        <v>841.5</v>
      </c>
      <c r="I625" s="1792">
        <v>20644525</v>
      </c>
      <c r="J625" s="429"/>
      <c r="K625" s="2443"/>
    </row>
    <row r="626" spans="1:11" ht="18" customHeight="1" x14ac:dyDescent="0.25">
      <c r="A626" s="2796" t="s">
        <v>2478</v>
      </c>
      <c r="B626" s="2850" t="s">
        <v>40</v>
      </c>
      <c r="C626" s="658">
        <v>2289.0300000000002</v>
      </c>
      <c r="D626" s="1792">
        <v>14008364</v>
      </c>
      <c r="E626" s="429"/>
      <c r="F626" s="2796" t="s">
        <v>748</v>
      </c>
      <c r="G626" s="2043" t="s">
        <v>40</v>
      </c>
      <c r="H626" s="658">
        <v>965.5</v>
      </c>
      <c r="I626" s="1792">
        <v>20647780</v>
      </c>
      <c r="J626" s="429"/>
      <c r="K626" s="2443"/>
    </row>
    <row r="627" spans="1:11" ht="18" customHeight="1" x14ac:dyDescent="0.25">
      <c r="A627" s="1688" t="s">
        <v>2482</v>
      </c>
      <c r="B627" s="1752" t="s">
        <v>40</v>
      </c>
      <c r="C627" s="658">
        <v>2367.4899999999998</v>
      </c>
      <c r="D627" s="1754">
        <v>14098812</v>
      </c>
      <c r="E627" s="429"/>
      <c r="F627" s="3309" t="s">
        <v>2344</v>
      </c>
      <c r="G627" s="1752"/>
      <c r="H627" s="658">
        <v>5</v>
      </c>
      <c r="I627" s="1754">
        <v>20804305</v>
      </c>
      <c r="J627" s="429"/>
      <c r="K627" s="2443"/>
    </row>
    <row r="628" spans="1:11" ht="18" customHeight="1" x14ac:dyDescent="0.25">
      <c r="A628" s="493" t="s">
        <v>2483</v>
      </c>
      <c r="B628" s="601" t="s">
        <v>40</v>
      </c>
      <c r="C628" s="658">
        <v>1646.26</v>
      </c>
      <c r="D628" s="1792">
        <v>14106123</v>
      </c>
      <c r="E628" s="429"/>
      <c r="F628" s="2991" t="s">
        <v>2556</v>
      </c>
      <c r="G628" s="4733"/>
      <c r="H628" s="658">
        <v>100.34</v>
      </c>
      <c r="I628" s="1792">
        <v>20865111</v>
      </c>
      <c r="J628" s="429"/>
      <c r="K628" s="2443"/>
    </row>
    <row r="629" spans="1:11" ht="18" customHeight="1" x14ac:dyDescent="0.25">
      <c r="A629" s="3286" t="s">
        <v>2479</v>
      </c>
      <c r="B629" s="3188" t="s">
        <v>40</v>
      </c>
      <c r="C629" s="658">
        <v>1819.49</v>
      </c>
      <c r="D629" s="1792">
        <v>14168708</v>
      </c>
      <c r="E629" s="429"/>
      <c r="F629" s="2975" t="s">
        <v>2487</v>
      </c>
      <c r="G629" s="1803"/>
      <c r="H629" s="658">
        <v>6.61</v>
      </c>
      <c r="I629" s="1792">
        <v>20893886</v>
      </c>
      <c r="J629" s="429"/>
      <c r="K629" s="2443"/>
    </row>
    <row r="630" spans="1:11" ht="18" customHeight="1" x14ac:dyDescent="0.25">
      <c r="A630" s="2959" t="s">
        <v>2623</v>
      </c>
      <c r="B630" s="3308"/>
      <c r="C630" s="658">
        <v>264.7</v>
      </c>
      <c r="D630" s="1792">
        <v>14297944</v>
      </c>
      <c r="E630" s="429"/>
      <c r="F630" s="2961" t="s">
        <v>2632</v>
      </c>
      <c r="G630" s="335"/>
      <c r="H630" s="658">
        <v>1152.5999999999999</v>
      </c>
      <c r="I630" s="457">
        <v>20899445</v>
      </c>
      <c r="J630" s="429"/>
      <c r="K630" s="2443"/>
    </row>
    <row r="631" spans="1:11" ht="18" customHeight="1" x14ac:dyDescent="0.25">
      <c r="A631" s="2991" t="s">
        <v>2585</v>
      </c>
      <c r="B631" s="1803"/>
      <c r="C631" s="658">
        <v>5</v>
      </c>
      <c r="D631" s="1792">
        <v>14556352</v>
      </c>
      <c r="E631" s="429"/>
      <c r="F631" s="1410" t="s">
        <v>2633</v>
      </c>
      <c r="G631" s="2043"/>
      <c r="H631" s="658">
        <v>1193.5</v>
      </c>
      <c r="I631" s="1792">
        <v>20899445</v>
      </c>
      <c r="J631" s="429"/>
      <c r="K631" s="2443"/>
    </row>
    <row r="632" spans="1:11" ht="18" customHeight="1" x14ac:dyDescent="0.25">
      <c r="A632" s="4655" t="s">
        <v>2495</v>
      </c>
      <c r="B632" s="335" t="s">
        <v>40</v>
      </c>
      <c r="C632" s="658">
        <v>222.93</v>
      </c>
      <c r="D632" s="457">
        <v>14589173</v>
      </c>
      <c r="E632" s="429"/>
      <c r="F632" s="2966" t="s">
        <v>2637</v>
      </c>
      <c r="G632" s="1384"/>
      <c r="H632" s="658">
        <v>1118.2</v>
      </c>
      <c r="I632" s="1792">
        <v>20899445</v>
      </c>
      <c r="J632" s="429"/>
      <c r="K632" s="2443"/>
    </row>
    <row r="633" spans="1:11" ht="18" customHeight="1" x14ac:dyDescent="0.25">
      <c r="A633" s="1390" t="s">
        <v>2002</v>
      </c>
      <c r="B633" s="2043" t="s">
        <v>40</v>
      </c>
      <c r="C633" s="658">
        <v>220.9</v>
      </c>
      <c r="D633" s="1792">
        <v>14589650</v>
      </c>
      <c r="E633" s="429"/>
      <c r="F633" s="1691" t="s">
        <v>2634</v>
      </c>
      <c r="G633" s="1790"/>
      <c r="H633" s="658">
        <v>816.5</v>
      </c>
      <c r="I633" s="1792">
        <v>20903851</v>
      </c>
      <c r="J633" s="429"/>
      <c r="K633" s="2443"/>
    </row>
    <row r="634" spans="1:11" ht="18" customHeight="1" x14ac:dyDescent="0.25">
      <c r="A634" s="1488" t="s">
        <v>2150</v>
      </c>
      <c r="B634" s="1384" t="s">
        <v>40</v>
      </c>
      <c r="C634" s="658">
        <v>4</v>
      </c>
      <c r="D634" s="1792">
        <v>14590474</v>
      </c>
      <c r="E634" s="429"/>
      <c r="F634" s="2921" t="s">
        <v>1826</v>
      </c>
      <c r="G634" s="1790" t="s">
        <v>40</v>
      </c>
      <c r="H634" s="658">
        <v>78.099999999999994</v>
      </c>
      <c r="I634" s="1792">
        <v>20908214</v>
      </c>
      <c r="J634" s="429"/>
      <c r="K634" s="2443"/>
    </row>
    <row r="635" spans="1:11" ht="18" customHeight="1" x14ac:dyDescent="0.25">
      <c r="A635" s="1469" t="s">
        <v>1767</v>
      </c>
      <c r="B635" s="2439"/>
      <c r="C635" s="658">
        <v>3.8</v>
      </c>
      <c r="D635" s="1792">
        <v>14590475</v>
      </c>
      <c r="E635" s="429"/>
      <c r="F635" s="494" t="s">
        <v>1833</v>
      </c>
      <c r="G635" s="585" t="s">
        <v>40</v>
      </c>
      <c r="H635" s="658">
        <v>150.4</v>
      </c>
      <c r="I635" s="457">
        <v>21007086</v>
      </c>
      <c r="J635" s="429"/>
      <c r="K635" s="2443"/>
    </row>
    <row r="636" spans="1:11" ht="18" customHeight="1" x14ac:dyDescent="0.25">
      <c r="A636" s="493" t="s">
        <v>748</v>
      </c>
      <c r="B636" s="1790" t="s">
        <v>40</v>
      </c>
      <c r="C636" s="658">
        <v>243.8</v>
      </c>
      <c r="D636" s="1792">
        <v>14596166</v>
      </c>
      <c r="E636" s="429"/>
      <c r="F636" s="1688" t="s">
        <v>1792</v>
      </c>
      <c r="G636" s="570"/>
      <c r="H636" s="657">
        <v>63.08</v>
      </c>
      <c r="I636" s="457">
        <v>21219843</v>
      </c>
      <c r="J636" s="429"/>
      <c r="K636" s="2443"/>
    </row>
    <row r="637" spans="1:11" ht="18" customHeight="1" x14ac:dyDescent="0.25">
      <c r="A637" s="3033" t="s">
        <v>2158</v>
      </c>
      <c r="B637" s="585" t="s">
        <v>40</v>
      </c>
      <c r="C637" s="658">
        <v>72.599999999999994</v>
      </c>
      <c r="D637" s="457">
        <v>15050971</v>
      </c>
      <c r="E637" s="429"/>
      <c r="F637" s="2957" t="s">
        <v>2558</v>
      </c>
      <c r="G637" s="335"/>
      <c r="H637" s="658">
        <v>375.5</v>
      </c>
      <c r="I637" s="1754">
        <v>21313790</v>
      </c>
      <c r="J637" s="429"/>
      <c r="K637" s="2443"/>
    </row>
    <row r="638" spans="1:11" ht="18" customHeight="1" x14ac:dyDescent="0.25">
      <c r="A638" s="1688" t="s">
        <v>1833</v>
      </c>
      <c r="B638" s="335" t="s">
        <v>40</v>
      </c>
      <c r="C638" s="657">
        <v>46.232999999999997</v>
      </c>
      <c r="D638" s="457">
        <v>15230016</v>
      </c>
      <c r="E638" s="429"/>
      <c r="F638" s="1688" t="s">
        <v>2026</v>
      </c>
      <c r="G638" s="335"/>
      <c r="H638" s="658">
        <v>54.7</v>
      </c>
      <c r="I638" s="457">
        <v>21324108</v>
      </c>
      <c r="J638" s="429"/>
      <c r="K638" s="2443"/>
    </row>
    <row r="639" spans="1:11" ht="18" customHeight="1" x14ac:dyDescent="0.25">
      <c r="A639" s="1688" t="s">
        <v>1792</v>
      </c>
      <c r="B639" s="570"/>
      <c r="C639" s="658">
        <v>31.76</v>
      </c>
      <c r="D639" s="1754">
        <v>15330681</v>
      </c>
      <c r="E639" s="429"/>
      <c r="F639" s="2447" t="s">
        <v>2050</v>
      </c>
      <c r="G639" s="1384"/>
      <c r="H639" s="658">
        <v>2</v>
      </c>
      <c r="I639" s="1504">
        <v>22072194</v>
      </c>
      <c r="J639" s="429"/>
      <c r="K639" s="2443"/>
    </row>
    <row r="640" spans="1:11" ht="18" customHeight="1" x14ac:dyDescent="0.25">
      <c r="A640" s="1688" t="s">
        <v>2026</v>
      </c>
      <c r="B640" s="335"/>
      <c r="C640" s="658">
        <v>23.44</v>
      </c>
      <c r="D640" s="457">
        <v>15447297</v>
      </c>
      <c r="E640" s="429"/>
      <c r="F640" s="1466" t="s">
        <v>1758</v>
      </c>
      <c r="G640" s="572"/>
      <c r="H640" s="657">
        <v>95.2</v>
      </c>
      <c r="I640" s="333">
        <v>22082580</v>
      </c>
      <c r="J640" s="429"/>
      <c r="K640" s="2443"/>
    </row>
    <row r="641" spans="1:11" ht="18" customHeight="1" x14ac:dyDescent="0.25">
      <c r="A641" s="1765" t="s">
        <v>1826</v>
      </c>
      <c r="B641" s="1384" t="s">
        <v>40</v>
      </c>
      <c r="C641" s="658">
        <v>19.3</v>
      </c>
      <c r="D641" s="457">
        <v>15475875</v>
      </c>
      <c r="E641" s="429"/>
      <c r="F641" s="511" t="s">
        <v>1101</v>
      </c>
      <c r="G641" s="626"/>
      <c r="H641" s="657">
        <v>444.2</v>
      </c>
      <c r="I641" s="454">
        <v>22414278</v>
      </c>
      <c r="J641" s="429"/>
      <c r="K641" s="2443"/>
    </row>
    <row r="642" spans="1:11" ht="18" customHeight="1" x14ac:dyDescent="0.25">
      <c r="A642" s="511" t="s">
        <v>1101</v>
      </c>
      <c r="B642" s="573"/>
      <c r="C642" s="657">
        <v>100.28</v>
      </c>
      <c r="D642" s="333">
        <v>15599864</v>
      </c>
      <c r="E642" s="429"/>
      <c r="F642" s="495" t="s">
        <v>578</v>
      </c>
      <c r="G642" s="1384" t="s">
        <v>40</v>
      </c>
      <c r="H642" s="657">
        <v>8.1999999999999993</v>
      </c>
      <c r="I642" s="457">
        <v>22623732</v>
      </c>
      <c r="J642" s="429"/>
      <c r="K642" s="2443"/>
    </row>
    <row r="643" spans="1:11" ht="18" customHeight="1" x14ac:dyDescent="0.25">
      <c r="A643" s="2194" t="s">
        <v>1594</v>
      </c>
      <c r="B643" s="585" t="s">
        <v>40</v>
      </c>
      <c r="C643" s="657">
        <v>4.375</v>
      </c>
      <c r="D643" s="454">
        <v>15625448</v>
      </c>
      <c r="E643" s="429"/>
      <c r="F643" s="1760" t="s">
        <v>2219</v>
      </c>
      <c r="G643" s="1384"/>
      <c r="H643" s="658">
        <v>1367.9</v>
      </c>
      <c r="I643" s="457">
        <v>22873781</v>
      </c>
      <c r="J643" s="429"/>
      <c r="K643" s="2443"/>
    </row>
    <row r="644" spans="1:11" ht="18" customHeight="1" x14ac:dyDescent="0.25">
      <c r="A644" s="516" t="s">
        <v>2558</v>
      </c>
      <c r="B644" s="1384"/>
      <c r="C644" s="657">
        <v>110.1</v>
      </c>
      <c r="D644" s="457">
        <v>15632640</v>
      </c>
      <c r="E644" s="429"/>
      <c r="F644" s="1691" t="s">
        <v>2154</v>
      </c>
      <c r="G644" s="1364" t="s">
        <v>40</v>
      </c>
      <c r="H644" s="658">
        <v>25</v>
      </c>
      <c r="I644" s="457">
        <v>22914008</v>
      </c>
      <c r="J644" s="429"/>
      <c r="K644" s="2443"/>
    </row>
    <row r="645" spans="1:11" ht="18" customHeight="1" x14ac:dyDescent="0.25">
      <c r="A645" s="495" t="s">
        <v>575</v>
      </c>
      <c r="B645" s="1388"/>
      <c r="C645" s="658">
        <v>14</v>
      </c>
      <c r="D645" s="457">
        <v>15699974</v>
      </c>
      <c r="E645" s="429"/>
      <c r="F645" s="2995" t="s">
        <v>2153</v>
      </c>
      <c r="G645" s="585"/>
      <c r="H645" s="659">
        <f>14.9+2310</f>
        <v>2324.9</v>
      </c>
      <c r="I645" s="457">
        <v>23210378</v>
      </c>
      <c r="J645" s="429"/>
      <c r="K645" s="2443"/>
    </row>
    <row r="646" spans="1:11" ht="18" customHeight="1" x14ac:dyDescent="0.25">
      <c r="A646" s="3012" t="s">
        <v>2217</v>
      </c>
      <c r="B646" s="1364"/>
      <c r="C646" s="658">
        <v>23.9</v>
      </c>
      <c r="D646" s="457">
        <v>15700625</v>
      </c>
      <c r="E646" s="429"/>
      <c r="F646" s="1455" t="s">
        <v>1594</v>
      </c>
      <c r="G646" s="585" t="s">
        <v>40</v>
      </c>
      <c r="H646" s="657">
        <v>7</v>
      </c>
      <c r="I646" s="454">
        <v>23819898</v>
      </c>
      <c r="J646" s="429"/>
      <c r="K646" s="2443"/>
    </row>
    <row r="647" spans="1:11" ht="18" customHeight="1" x14ac:dyDescent="0.25">
      <c r="A647" s="499" t="s">
        <v>578</v>
      </c>
      <c r="B647" s="585" t="s">
        <v>40</v>
      </c>
      <c r="C647" s="658">
        <v>34.14</v>
      </c>
      <c r="D647" s="457">
        <v>15716690</v>
      </c>
      <c r="E647" s="429"/>
      <c r="F647" s="493" t="s">
        <v>2149</v>
      </c>
      <c r="G647" s="585" t="s">
        <v>40</v>
      </c>
      <c r="H647" s="660">
        <v>42.9</v>
      </c>
      <c r="I647" s="454">
        <v>24336601</v>
      </c>
      <c r="J647" s="429"/>
      <c r="K647" s="2443"/>
    </row>
    <row r="648" spans="1:11" ht="18" customHeight="1" x14ac:dyDescent="0.25">
      <c r="A648" s="1455" t="s">
        <v>1790</v>
      </c>
      <c r="B648" s="1519"/>
      <c r="C648" s="657">
        <v>7.7050000000000001</v>
      </c>
      <c r="D648" s="454">
        <v>15733264</v>
      </c>
      <c r="E648" s="429"/>
      <c r="F648" s="3008" t="s">
        <v>2217</v>
      </c>
      <c r="G648" s="571"/>
      <c r="H648" s="657">
        <v>54.4</v>
      </c>
      <c r="I648" s="438">
        <v>24362263</v>
      </c>
      <c r="J648" s="429"/>
      <c r="K648" s="2443"/>
    </row>
    <row r="649" spans="1:11" ht="18" customHeight="1" x14ac:dyDescent="0.25">
      <c r="A649" s="523" t="s">
        <v>2153</v>
      </c>
      <c r="B649" s="585"/>
      <c r="C649" s="660">
        <v>372</v>
      </c>
      <c r="D649" s="454">
        <v>15744586</v>
      </c>
      <c r="E649" s="429"/>
      <c r="F649" s="499" t="s">
        <v>575</v>
      </c>
      <c r="G649" s="570"/>
      <c r="H649" s="657">
        <v>35</v>
      </c>
      <c r="I649" s="442">
        <v>24367167</v>
      </c>
      <c r="J649" s="429"/>
      <c r="K649" s="2443"/>
    </row>
    <row r="650" spans="1:11" ht="18" customHeight="1" x14ac:dyDescent="0.25">
      <c r="A650" s="518" t="s">
        <v>1793</v>
      </c>
      <c r="B650" s="587"/>
      <c r="C650" s="657">
        <v>9.7899999999999991</v>
      </c>
      <c r="D650" s="438">
        <v>15882766</v>
      </c>
      <c r="E650" s="429"/>
      <c r="F650" s="496" t="s">
        <v>1793</v>
      </c>
      <c r="G650" s="566"/>
      <c r="H650" s="658">
        <v>24.2</v>
      </c>
      <c r="I650" s="457">
        <v>24503867</v>
      </c>
      <c r="J650" s="429"/>
      <c r="K650" s="2443"/>
    </row>
    <row r="651" spans="1:11" ht="18" customHeight="1" x14ac:dyDescent="0.25">
      <c r="A651" s="3002" t="s">
        <v>2134</v>
      </c>
      <c r="B651" s="335"/>
      <c r="C651" s="657">
        <v>20.6</v>
      </c>
      <c r="D651" s="442">
        <v>15884831</v>
      </c>
      <c r="E651" s="429"/>
      <c r="F651" s="493" t="s">
        <v>1759</v>
      </c>
      <c r="G651" s="573"/>
      <c r="H651" s="660">
        <v>58</v>
      </c>
      <c r="I651" s="456">
        <v>24631817</v>
      </c>
      <c r="J651" s="429"/>
      <c r="K651" s="2443"/>
    </row>
    <row r="652" spans="1:11" ht="18" customHeight="1" x14ac:dyDescent="0.25">
      <c r="A652" s="511" t="s">
        <v>1756</v>
      </c>
      <c r="B652" s="335" t="s">
        <v>40</v>
      </c>
      <c r="C652" s="659">
        <v>13.51</v>
      </c>
      <c r="D652" s="457">
        <v>15923015</v>
      </c>
      <c r="E652" s="429"/>
      <c r="F652" s="2981" t="s">
        <v>2585</v>
      </c>
      <c r="G652" s="335"/>
      <c r="H652" s="657">
        <v>29</v>
      </c>
      <c r="I652" s="454">
        <v>24830120</v>
      </c>
      <c r="J652" s="429"/>
      <c r="K652" s="2443"/>
    </row>
    <row r="653" spans="1:11" ht="18" customHeight="1" x14ac:dyDescent="0.25">
      <c r="A653" s="493" t="s">
        <v>1711</v>
      </c>
      <c r="B653" s="335" t="s">
        <v>40</v>
      </c>
      <c r="C653" s="657">
        <v>5.6280000000000001</v>
      </c>
      <c r="D653" s="456">
        <v>15948123</v>
      </c>
      <c r="E653" s="429"/>
      <c r="F653" s="493" t="s">
        <v>1767</v>
      </c>
      <c r="G653" s="573"/>
      <c r="H653" s="658">
        <v>17.46</v>
      </c>
      <c r="I653" s="455">
        <v>24877797</v>
      </c>
      <c r="J653" s="429"/>
      <c r="K653" s="2443"/>
    </row>
    <row r="654" spans="1:11" ht="18" customHeight="1" x14ac:dyDescent="0.25">
      <c r="A654" s="1776" t="s">
        <v>2219</v>
      </c>
      <c r="B654" s="335"/>
      <c r="C654" s="657">
        <v>196.95</v>
      </c>
      <c r="D654" s="454">
        <v>16026250</v>
      </c>
      <c r="E654" s="429"/>
      <c r="F654" s="2496" t="s">
        <v>2152</v>
      </c>
      <c r="G654" s="335" t="s">
        <v>40</v>
      </c>
      <c r="H654" s="659">
        <v>20</v>
      </c>
      <c r="I654" s="455">
        <v>24995125</v>
      </c>
      <c r="J654" s="429"/>
      <c r="K654" s="2443"/>
    </row>
    <row r="655" spans="1:11" ht="18" customHeight="1" x14ac:dyDescent="0.25">
      <c r="A655" s="523" t="s">
        <v>2556</v>
      </c>
      <c r="B655" s="335"/>
      <c r="C655" s="658">
        <v>35.11</v>
      </c>
      <c r="D655" s="455">
        <v>16049792</v>
      </c>
      <c r="E655" s="429"/>
      <c r="F655" s="524" t="s">
        <v>1102</v>
      </c>
      <c r="G655" s="335" t="s">
        <v>40</v>
      </c>
      <c r="H655" s="658">
        <v>30</v>
      </c>
      <c r="I655" s="438">
        <v>25034939</v>
      </c>
      <c r="J655" s="429"/>
      <c r="K655" s="2443"/>
    </row>
    <row r="656" spans="1:11" ht="18" customHeight="1" x14ac:dyDescent="0.25">
      <c r="A656" s="2496" t="s">
        <v>2152</v>
      </c>
      <c r="B656" s="335" t="s">
        <v>40</v>
      </c>
      <c r="C656" s="659">
        <v>3</v>
      </c>
      <c r="D656" s="455">
        <v>16082982</v>
      </c>
      <c r="E656" s="429"/>
      <c r="F656" s="497" t="s">
        <v>1790</v>
      </c>
      <c r="G656" s="643"/>
      <c r="H656" s="658">
        <v>14.9</v>
      </c>
      <c r="I656" s="438">
        <v>25035680</v>
      </c>
      <c r="J656" s="429"/>
      <c r="K656" s="2443"/>
    </row>
    <row r="657" spans="1:11" ht="18" customHeight="1" x14ac:dyDescent="0.25">
      <c r="A657" s="524" t="s">
        <v>1102</v>
      </c>
      <c r="B657" s="335" t="s">
        <v>40</v>
      </c>
      <c r="C657" s="658">
        <v>4</v>
      </c>
      <c r="D657" s="438">
        <v>16181027</v>
      </c>
      <c r="E657" s="429"/>
      <c r="F657" s="2978" t="s">
        <v>2134</v>
      </c>
      <c r="G657" s="579"/>
      <c r="H657" s="658">
        <v>52</v>
      </c>
      <c r="I657" s="333">
        <v>25067805</v>
      </c>
      <c r="J657" s="429"/>
      <c r="K657" s="2443"/>
    </row>
    <row r="658" spans="1:11" ht="18" customHeight="1" x14ac:dyDescent="0.25">
      <c r="A658" s="2975" t="s">
        <v>2190</v>
      </c>
      <c r="B658" s="601" t="s">
        <v>40</v>
      </c>
      <c r="C658" s="658">
        <v>15.15</v>
      </c>
      <c r="D658" s="438">
        <v>16199787</v>
      </c>
      <c r="E658" s="429"/>
      <c r="F658" s="497" t="s">
        <v>1768</v>
      </c>
      <c r="G658" s="578"/>
      <c r="H658" s="658">
        <v>3</v>
      </c>
      <c r="I658" s="438">
        <v>25141213</v>
      </c>
      <c r="J658" s="429"/>
      <c r="K658" s="2443"/>
    </row>
    <row r="659" spans="1:11" ht="18" customHeight="1" x14ac:dyDescent="0.25">
      <c r="A659" s="493" t="s">
        <v>921</v>
      </c>
      <c r="B659" s="598"/>
      <c r="C659" s="658">
        <v>8.6199999999999992</v>
      </c>
      <c r="D659" s="333">
        <v>16199787</v>
      </c>
      <c r="E659" s="429"/>
      <c r="F659" s="2313" t="s">
        <v>2626</v>
      </c>
      <c r="G659" s="335"/>
      <c r="H659" s="658">
        <v>4.13</v>
      </c>
      <c r="I659" s="438">
        <v>25650791</v>
      </c>
      <c r="J659" s="429"/>
      <c r="K659" s="2443"/>
    </row>
    <row r="660" spans="1:11" ht="18" customHeight="1" x14ac:dyDescent="0.25">
      <c r="A660" s="493" t="s">
        <v>1758</v>
      </c>
      <c r="B660" s="599"/>
      <c r="C660" s="658">
        <v>35.299999999999997</v>
      </c>
      <c r="D660" s="438">
        <v>16211216</v>
      </c>
      <c r="E660" s="429"/>
      <c r="F660" s="2975" t="s">
        <v>2190</v>
      </c>
      <c r="G660" s="335" t="s">
        <v>40</v>
      </c>
      <c r="H660" s="658">
        <v>10.3</v>
      </c>
      <c r="I660" s="1792">
        <v>26870867</v>
      </c>
      <c r="J660" s="429"/>
      <c r="K660" s="2443"/>
    </row>
    <row r="661" spans="1:11" ht="18" customHeight="1" x14ac:dyDescent="0.25">
      <c r="A661" s="500" t="s">
        <v>2346</v>
      </c>
      <c r="B661" s="335" t="s">
        <v>40</v>
      </c>
      <c r="C661" s="658">
        <v>69.400000000000006</v>
      </c>
      <c r="D661" s="438">
        <v>16241961</v>
      </c>
      <c r="E661" s="429"/>
      <c r="F661" s="3007" t="s">
        <v>1100</v>
      </c>
      <c r="G661" s="644" t="s">
        <v>40</v>
      </c>
      <c r="H661" s="740">
        <v>8.8000000000000007</v>
      </c>
      <c r="I661" s="1391">
        <v>26981939</v>
      </c>
      <c r="J661" s="429"/>
      <c r="K661" s="2443"/>
    </row>
    <row r="662" spans="1:11" ht="18" customHeight="1" x14ac:dyDescent="0.25">
      <c r="A662" s="2975" t="s">
        <v>1100</v>
      </c>
      <c r="B662" s="335" t="s">
        <v>40</v>
      </c>
      <c r="C662" s="658">
        <v>3.9</v>
      </c>
      <c r="D662" s="1792">
        <v>16345140</v>
      </c>
      <c r="E662" s="429"/>
      <c r="F662" s="497" t="s">
        <v>1711</v>
      </c>
      <c r="G662" s="335" t="s">
        <v>40</v>
      </c>
      <c r="H662" s="671">
        <v>4.7</v>
      </c>
      <c r="I662" s="459">
        <v>27771964</v>
      </c>
      <c r="J662" s="429"/>
      <c r="K662" s="2443"/>
    </row>
    <row r="663" spans="1:11" ht="18" customHeight="1" x14ac:dyDescent="0.25">
      <c r="A663" s="2313" t="s">
        <v>2636</v>
      </c>
      <c r="B663" s="644" t="s">
        <v>40</v>
      </c>
      <c r="C663" s="740">
        <v>3.4</v>
      </c>
      <c r="D663" s="1391">
        <v>16419716</v>
      </c>
      <c r="E663" s="429"/>
      <c r="F663" s="500" t="s">
        <v>2346</v>
      </c>
      <c r="G663" s="335" t="s">
        <v>40</v>
      </c>
      <c r="H663" s="658">
        <v>331.3</v>
      </c>
      <c r="I663" s="438">
        <v>28705563</v>
      </c>
      <c r="J663" s="429"/>
      <c r="K663" s="2443"/>
    </row>
    <row r="664" spans="1:11" ht="18" customHeight="1" x14ac:dyDescent="0.25">
      <c r="A664" s="497" t="s">
        <v>1768</v>
      </c>
      <c r="B664" s="573"/>
      <c r="C664" s="671">
        <v>1</v>
      </c>
      <c r="D664" s="459">
        <v>16503428</v>
      </c>
      <c r="E664" s="429"/>
      <c r="F664" s="1488" t="s">
        <v>921</v>
      </c>
      <c r="G664" s="2084"/>
      <c r="H664" s="658">
        <v>12.3</v>
      </c>
      <c r="I664" s="1754">
        <v>29903668</v>
      </c>
      <c r="J664" s="429"/>
      <c r="K664" s="2443"/>
    </row>
    <row r="665" spans="1:11" ht="18" customHeight="1" x14ac:dyDescent="0.25">
      <c r="A665" s="497" t="s">
        <v>1959</v>
      </c>
      <c r="B665" s="573"/>
      <c r="C665" s="658">
        <v>0.82</v>
      </c>
      <c r="D665" s="438">
        <v>16506305</v>
      </c>
      <c r="E665" s="429"/>
      <c r="F665" s="2313" t="s">
        <v>2636</v>
      </c>
      <c r="G665" s="592" t="s">
        <v>40</v>
      </c>
      <c r="H665" s="658">
        <v>25.33</v>
      </c>
      <c r="I665" s="438">
        <v>30510665</v>
      </c>
      <c r="J665" s="429"/>
      <c r="K665" s="2443"/>
    </row>
    <row r="666" spans="1:11" ht="18" customHeight="1" x14ac:dyDescent="0.25">
      <c r="A666" s="1488" t="s">
        <v>2625</v>
      </c>
      <c r="B666" s="1385" t="s">
        <v>40</v>
      </c>
      <c r="C666" s="658">
        <v>4.08</v>
      </c>
      <c r="D666" s="1754">
        <v>16507320</v>
      </c>
      <c r="E666" s="429"/>
      <c r="F666" s="511" t="s">
        <v>1959</v>
      </c>
      <c r="G666" s="573"/>
      <c r="H666" s="657">
        <v>3.04</v>
      </c>
      <c r="I666" s="457">
        <v>33594837</v>
      </c>
      <c r="J666" s="429"/>
      <c r="K666" s="2443"/>
    </row>
    <row r="667" spans="1:11" ht="18" customHeight="1" x14ac:dyDescent="0.25">
      <c r="A667" s="2313" t="s">
        <v>2626</v>
      </c>
      <c r="B667" s="592"/>
      <c r="C667" s="658">
        <v>1.68</v>
      </c>
      <c r="D667" s="438">
        <v>16521638</v>
      </c>
      <c r="E667" s="429"/>
      <c r="F667" s="493" t="s">
        <v>2625</v>
      </c>
      <c r="G667" s="601" t="s">
        <v>40</v>
      </c>
      <c r="H667" s="658">
        <v>0.4</v>
      </c>
      <c r="I667" s="438">
        <v>38609512</v>
      </c>
      <c r="J667" s="429"/>
      <c r="K667" s="2443"/>
    </row>
    <row r="668" spans="1:11" ht="18" customHeight="1" x14ac:dyDescent="0.25">
      <c r="A668" s="511" t="s">
        <v>1759</v>
      </c>
      <c r="B668" s="573"/>
      <c r="C668" s="660">
        <v>9</v>
      </c>
      <c r="D668" s="457">
        <v>16633012</v>
      </c>
      <c r="E668" s="429"/>
      <c r="F668" s="2441" t="s">
        <v>2145</v>
      </c>
      <c r="G668" s="602"/>
      <c r="H668" s="658">
        <v>469.5</v>
      </c>
      <c r="I668" s="453">
        <v>49159379</v>
      </c>
      <c r="J668" s="429"/>
      <c r="K668" s="2443"/>
    </row>
    <row r="669" spans="1:11" ht="18" customHeight="1" x14ac:dyDescent="0.25">
      <c r="A669" s="498" t="s">
        <v>503</v>
      </c>
      <c r="B669" s="627"/>
      <c r="C669" s="658"/>
      <c r="D669" s="1792">
        <v>17039360</v>
      </c>
      <c r="E669" s="429"/>
      <c r="F669" s="498" t="s">
        <v>503</v>
      </c>
      <c r="G669" s="2069"/>
      <c r="H669" s="658"/>
      <c r="I669" s="438">
        <v>49348608</v>
      </c>
      <c r="J669" s="429"/>
      <c r="K669" s="2443"/>
    </row>
    <row r="670" spans="1:11" ht="18" customHeight="1" x14ac:dyDescent="0.25">
      <c r="A670" s="2441" t="s">
        <v>2050</v>
      </c>
      <c r="B670" s="592"/>
      <c r="C670" s="658">
        <v>1</v>
      </c>
      <c r="D670" s="1791">
        <v>18655580</v>
      </c>
      <c r="E670" s="429"/>
      <c r="F670" s="2441" t="s">
        <v>2148</v>
      </c>
      <c r="G670" s="335"/>
      <c r="H670" s="658">
        <v>46</v>
      </c>
      <c r="I670" s="453">
        <v>61339233</v>
      </c>
      <c r="J670" s="429"/>
      <c r="K670" s="2443"/>
    </row>
    <row r="671" spans="1:11" ht="18" customHeight="1" x14ac:dyDescent="0.25">
      <c r="A671" s="2441" t="s">
        <v>2145</v>
      </c>
      <c r="B671" s="602"/>
      <c r="C671" s="658">
        <v>562.9</v>
      </c>
      <c r="D671" s="1791">
        <v>54639941</v>
      </c>
      <c r="E671" s="429"/>
      <c r="F671" s="2441" t="s">
        <v>2146</v>
      </c>
      <c r="G671" s="628"/>
      <c r="H671" s="658">
        <v>33</v>
      </c>
      <c r="I671" s="453">
        <v>86173908</v>
      </c>
      <c r="J671" s="429"/>
      <c r="K671" s="2443"/>
    </row>
    <row r="672" spans="1:11" ht="18" customHeight="1" x14ac:dyDescent="0.25">
      <c r="A672" s="2441" t="s">
        <v>2148</v>
      </c>
      <c r="B672" s="335"/>
      <c r="C672" s="658">
        <v>53</v>
      </c>
      <c r="D672" s="1791">
        <v>65983209</v>
      </c>
      <c r="E672" s="429"/>
      <c r="F672" s="2461" t="s">
        <v>2147</v>
      </c>
      <c r="G672" s="1462"/>
      <c r="H672" s="658">
        <v>10</v>
      </c>
      <c r="I672" s="1464">
        <v>105325876</v>
      </c>
      <c r="J672" s="429"/>
      <c r="K672" s="2443"/>
    </row>
    <row r="673" spans="1:11" ht="18" customHeight="1" x14ac:dyDescent="0.25">
      <c r="A673" s="2441" t="s">
        <v>2146</v>
      </c>
      <c r="B673" s="628"/>
      <c r="C673" s="658">
        <v>17</v>
      </c>
      <c r="D673" s="1791">
        <v>86187256</v>
      </c>
      <c r="E673" s="429"/>
      <c r="F673" s="3006" t="s">
        <v>2156</v>
      </c>
      <c r="G673" s="601" t="s">
        <v>40</v>
      </c>
      <c r="H673" s="658"/>
      <c r="I673" s="453" t="s">
        <v>482</v>
      </c>
      <c r="J673" s="429"/>
      <c r="K673" s="2443"/>
    </row>
    <row r="674" spans="1:11" ht="18" customHeight="1" x14ac:dyDescent="0.25">
      <c r="A674" s="2467" t="s">
        <v>2147</v>
      </c>
      <c r="B674" s="601"/>
      <c r="C674" s="658">
        <v>11</v>
      </c>
      <c r="D674" s="2074">
        <v>93990816</v>
      </c>
      <c r="E674" s="429"/>
      <c r="F674" s="3005" t="s">
        <v>2155</v>
      </c>
      <c r="G674" s="601" t="s">
        <v>40</v>
      </c>
      <c r="H674" s="658"/>
      <c r="I674" s="2074" t="s">
        <v>482</v>
      </c>
      <c r="J674" s="429"/>
      <c r="K674" s="2443"/>
    </row>
    <row r="675" spans="1:11" ht="18" customHeight="1" x14ac:dyDescent="0.25">
      <c r="A675" s="2065" t="s">
        <v>2344</v>
      </c>
      <c r="B675" s="1462"/>
      <c r="C675" s="664"/>
      <c r="D675" s="1464" t="s">
        <v>482</v>
      </c>
      <c r="E675" s="429"/>
      <c r="F675" s="3004" t="s">
        <v>2157</v>
      </c>
      <c r="G675" s="601" t="s">
        <v>40</v>
      </c>
      <c r="H675" s="658"/>
      <c r="I675" s="1464" t="s">
        <v>482</v>
      </c>
      <c r="J675" s="429"/>
      <c r="K675" s="2443"/>
    </row>
    <row r="676" spans="1:11" ht="18" customHeight="1" x14ac:dyDescent="0.25">
      <c r="A676" s="525"/>
      <c r="B676" s="449"/>
      <c r="C676" s="669"/>
      <c r="D676" s="177"/>
      <c r="E676" s="429"/>
      <c r="F676" s="525"/>
      <c r="G676" s="575"/>
      <c r="H676" s="685"/>
      <c r="I676" s="229"/>
      <c r="J676" s="429"/>
      <c r="K676" s="2443"/>
    </row>
    <row r="677" spans="1:11" ht="18" customHeight="1" x14ac:dyDescent="0.25">
      <c r="A677" s="525"/>
      <c r="B677" s="449"/>
      <c r="C677" s="669"/>
      <c r="D677" s="177"/>
      <c r="E677" s="429"/>
      <c r="F677" s="525"/>
      <c r="G677" s="575"/>
      <c r="H677" s="685"/>
      <c r="I677" s="229"/>
      <c r="J677" s="429"/>
      <c r="K677" s="2443"/>
    </row>
    <row r="678" spans="1:11" ht="18" customHeight="1" x14ac:dyDescent="0.25">
      <c r="A678" s="142"/>
      <c r="B678" s="562"/>
      <c r="C678" s="677"/>
      <c r="D678" s="177"/>
      <c r="E678" s="429"/>
      <c r="F678" s="2463"/>
      <c r="G678" s="142"/>
      <c r="H678" s="677"/>
      <c r="I678" s="229"/>
      <c r="J678" s="429"/>
      <c r="K678" s="2443"/>
    </row>
    <row r="679" spans="1:11" ht="18" customHeight="1" x14ac:dyDescent="0.25">
      <c r="A679" s="140" t="s">
        <v>2744</v>
      </c>
      <c r="B679" s="140"/>
      <c r="C679" s="669"/>
      <c r="D679" s="177"/>
      <c r="E679" s="429"/>
      <c r="F679" s="525"/>
      <c r="G679" s="575"/>
      <c r="H679" s="719"/>
      <c r="I679" s="445"/>
      <c r="J679" s="429"/>
      <c r="K679" s="2443"/>
    </row>
    <row r="680" spans="1:11" ht="18" customHeight="1" x14ac:dyDescent="0.25">
      <c r="A680" s="140" t="s">
        <v>2745</v>
      </c>
      <c r="B680" s="140"/>
      <c r="C680" s="669"/>
      <c r="D680" s="177"/>
      <c r="E680" s="429"/>
      <c r="F680" s="525"/>
      <c r="G680" s="575"/>
      <c r="H680" s="719"/>
      <c r="I680" s="445"/>
      <c r="J680" s="429"/>
      <c r="K680" s="2443"/>
    </row>
    <row r="681" spans="1:11" ht="18" customHeight="1" x14ac:dyDescent="0.25">
      <c r="A681" s="142" t="s">
        <v>2746</v>
      </c>
      <c r="B681" s="142"/>
      <c r="C681" s="669"/>
      <c r="D681" s="177"/>
      <c r="E681" s="429"/>
      <c r="F681" s="525"/>
      <c r="G681" s="575"/>
      <c r="H681" s="719"/>
      <c r="I681" s="445"/>
      <c r="J681" s="429"/>
      <c r="K681" s="2443"/>
    </row>
    <row r="682" spans="1:11" ht="18" customHeight="1" x14ac:dyDescent="0.25">
      <c r="A682" s="525"/>
      <c r="B682" s="449"/>
      <c r="C682" s="669"/>
      <c r="D682" s="177"/>
      <c r="E682" s="429"/>
      <c r="F682" s="525"/>
      <c r="G682" s="575"/>
      <c r="H682" s="719"/>
      <c r="I682" s="445"/>
      <c r="J682" s="429"/>
      <c r="K682" s="2443"/>
    </row>
    <row r="683" spans="1:11" ht="24.75" customHeight="1" x14ac:dyDescent="0.25">
      <c r="A683" s="650" t="s">
        <v>1617</v>
      </c>
      <c r="B683" s="446"/>
      <c r="C683" s="2"/>
      <c r="D683" s="446"/>
      <c r="E683" s="429"/>
      <c r="F683" s="478"/>
      <c r="G683" s="478"/>
      <c r="H683" s="711"/>
      <c r="I683" s="478"/>
      <c r="J683" s="429"/>
      <c r="K683" s="2443"/>
    </row>
    <row r="684" spans="1:11" ht="18" customHeight="1" thickBot="1" x14ac:dyDescent="0.3">
      <c r="A684" s="447"/>
      <c r="B684" s="447"/>
      <c r="C684" s="424"/>
      <c r="D684" s="447"/>
      <c r="E684" s="431"/>
      <c r="F684" s="479"/>
      <c r="G684" s="479"/>
      <c r="H684" s="712"/>
      <c r="I684" s="479"/>
      <c r="J684" s="429"/>
      <c r="K684" s="2443"/>
    </row>
    <row r="685" spans="1:11" ht="23.1" customHeight="1" thickTop="1" x14ac:dyDescent="0.25">
      <c r="A685" s="448"/>
      <c r="B685" s="448"/>
      <c r="C685" s="426"/>
      <c r="D685" s="448"/>
      <c r="E685" s="432"/>
      <c r="F685" s="478"/>
      <c r="G685" s="478"/>
      <c r="H685" s="711"/>
      <c r="I685" s="478"/>
      <c r="J685" s="423"/>
      <c r="K685" s="2443"/>
    </row>
    <row r="686" spans="1:11" ht="4.5" customHeight="1" x14ac:dyDescent="0.25">
      <c r="A686" s="525"/>
      <c r="B686" s="535"/>
      <c r="C686" s="656"/>
      <c r="D686" s="449"/>
      <c r="E686" s="427"/>
      <c r="F686" s="525"/>
      <c r="G686" s="449"/>
      <c r="H686" s="673"/>
      <c r="I686" s="449"/>
      <c r="J686" s="423"/>
      <c r="K686" s="2443"/>
    </row>
    <row r="687" spans="1:11" ht="24" customHeight="1" x14ac:dyDescent="0.25">
      <c r="A687" s="1624" t="s">
        <v>597</v>
      </c>
      <c r="B687" s="564"/>
      <c r="C687" s="2430" t="s">
        <v>480</v>
      </c>
      <c r="D687" s="435" t="s">
        <v>1626</v>
      </c>
      <c r="E687" s="427"/>
      <c r="F687" s="510" t="s">
        <v>609</v>
      </c>
      <c r="G687" s="581"/>
      <c r="H687" s="2430" t="s">
        <v>480</v>
      </c>
      <c r="I687" s="521" t="s">
        <v>1625</v>
      </c>
      <c r="J687" s="423"/>
      <c r="K687" s="2443"/>
    </row>
    <row r="688" spans="1:11" ht="18" customHeight="1" x14ac:dyDescent="0.25">
      <c r="A688" s="4759" t="s">
        <v>2792</v>
      </c>
      <c r="B688" s="4739" t="s">
        <v>40</v>
      </c>
      <c r="C688" s="670">
        <v>82.91</v>
      </c>
      <c r="D688" s="458">
        <v>910578</v>
      </c>
      <c r="E688" s="427"/>
      <c r="F688" s="4767" t="s">
        <v>2792</v>
      </c>
      <c r="G688" s="3099" t="s">
        <v>40</v>
      </c>
      <c r="H688" s="743">
        <v>139.47</v>
      </c>
      <c r="I688" s="482">
        <v>4979316</v>
      </c>
      <c r="J688" s="427"/>
      <c r="K688" s="2443"/>
    </row>
    <row r="689" spans="1:11" ht="18" customHeight="1" x14ac:dyDescent="0.25">
      <c r="A689" s="2974" t="s">
        <v>2469</v>
      </c>
      <c r="B689" s="563" t="s">
        <v>40</v>
      </c>
      <c r="C689" s="658">
        <v>122.9</v>
      </c>
      <c r="D689" s="3016">
        <v>930395</v>
      </c>
      <c r="E689" s="427"/>
      <c r="F689" s="1688" t="s">
        <v>2478</v>
      </c>
      <c r="G689" s="563" t="s">
        <v>40</v>
      </c>
      <c r="H689" s="3100">
        <v>163.80000000000001</v>
      </c>
      <c r="I689" s="3020">
        <v>4979533</v>
      </c>
      <c r="J689" s="427"/>
      <c r="K689" s="2443"/>
    </row>
    <row r="690" spans="1:11" ht="18" customHeight="1" x14ac:dyDescent="0.25">
      <c r="A690" s="1688" t="s">
        <v>2478</v>
      </c>
      <c r="B690" s="563" t="s">
        <v>40</v>
      </c>
      <c r="C690" s="2195">
        <v>95.32</v>
      </c>
      <c r="D690" s="457">
        <v>933729</v>
      </c>
      <c r="E690" s="427"/>
      <c r="F690" s="4632" t="s">
        <v>2502</v>
      </c>
      <c r="G690" s="563" t="s">
        <v>40</v>
      </c>
      <c r="H690" s="657">
        <v>148.51</v>
      </c>
      <c r="I690" s="457">
        <v>4979542</v>
      </c>
      <c r="J690" s="427"/>
      <c r="K690" s="2443"/>
    </row>
    <row r="691" spans="1:11" ht="18" customHeight="1" x14ac:dyDescent="0.25">
      <c r="A691" s="4649" t="s">
        <v>2502</v>
      </c>
      <c r="B691" s="4734" t="s">
        <v>40</v>
      </c>
      <c r="C691" s="3191">
        <v>97.83</v>
      </c>
      <c r="D691" s="3195">
        <v>933731</v>
      </c>
      <c r="E691" s="427"/>
      <c r="F691" s="3293" t="s">
        <v>2469</v>
      </c>
      <c r="G691" s="4734" t="s">
        <v>40</v>
      </c>
      <c r="H691" s="3191">
        <v>140.46</v>
      </c>
      <c r="I691" s="3195">
        <v>4981980</v>
      </c>
      <c r="J691" s="427"/>
      <c r="K691" s="2443"/>
    </row>
    <row r="692" spans="1:11" ht="18" customHeight="1" x14ac:dyDescent="0.25">
      <c r="A692" s="1488" t="s">
        <v>2482</v>
      </c>
      <c r="B692" s="1384" t="s">
        <v>40</v>
      </c>
      <c r="C692" s="697">
        <v>99.66</v>
      </c>
      <c r="D692" s="1566">
        <v>943472</v>
      </c>
      <c r="E692" s="429"/>
      <c r="F692" s="4768" t="s">
        <v>2495</v>
      </c>
      <c r="G692" s="1790" t="s">
        <v>40</v>
      </c>
      <c r="H692" s="697">
        <v>112.23</v>
      </c>
      <c r="I692" s="1793">
        <v>4997115</v>
      </c>
      <c r="J692" s="427"/>
      <c r="K692" s="2443"/>
    </row>
    <row r="693" spans="1:11" ht="18" customHeight="1" x14ac:dyDescent="0.25">
      <c r="A693" s="1469" t="s">
        <v>2479</v>
      </c>
      <c r="B693" s="1790" t="s">
        <v>40</v>
      </c>
      <c r="C693" s="658">
        <v>111.6</v>
      </c>
      <c r="D693" s="1792">
        <v>947375</v>
      </c>
      <c r="E693" s="427"/>
      <c r="F693" s="523" t="s">
        <v>2621</v>
      </c>
      <c r="G693" s="335"/>
      <c r="H693" s="697">
        <v>248.2</v>
      </c>
      <c r="I693" s="476">
        <v>5024920</v>
      </c>
      <c r="J693" s="427"/>
      <c r="K693" s="2443"/>
    </row>
    <row r="694" spans="1:11" ht="18" customHeight="1" x14ac:dyDescent="0.25">
      <c r="A694" s="3032" t="s">
        <v>2481</v>
      </c>
      <c r="B694" s="1835" t="s">
        <v>40</v>
      </c>
      <c r="C694" s="657">
        <v>79.5</v>
      </c>
      <c r="D694" s="3016">
        <v>947390</v>
      </c>
      <c r="E694" s="427"/>
      <c r="F694" s="3038" t="s">
        <v>2639</v>
      </c>
      <c r="G694" s="1835"/>
      <c r="H694" s="657">
        <v>130.4</v>
      </c>
      <c r="I694" s="3016">
        <v>5044545</v>
      </c>
      <c r="J694" s="427"/>
      <c r="K694" s="2443"/>
    </row>
    <row r="695" spans="1:11" ht="18" customHeight="1" x14ac:dyDescent="0.25">
      <c r="A695" s="4632" t="s">
        <v>2495</v>
      </c>
      <c r="B695" s="3015" t="s">
        <v>40</v>
      </c>
      <c r="C695" s="657">
        <v>61.78</v>
      </c>
      <c r="D695" s="3016">
        <v>951961</v>
      </c>
      <c r="E695" s="427"/>
      <c r="F695" s="2957" t="s">
        <v>2637</v>
      </c>
      <c r="G695" s="3015"/>
      <c r="H695" s="698">
        <v>144</v>
      </c>
      <c r="I695" s="3019">
        <v>5044689</v>
      </c>
      <c r="J695" s="427"/>
      <c r="K695" s="2443"/>
    </row>
    <row r="696" spans="1:11" ht="18" customHeight="1" x14ac:dyDescent="0.25">
      <c r="A696" s="2917" t="s">
        <v>958</v>
      </c>
      <c r="B696" s="3079"/>
      <c r="C696" s="2195">
        <v>3.68</v>
      </c>
      <c r="D696" s="3080">
        <v>1113736</v>
      </c>
      <c r="E696" s="427"/>
      <c r="F696" s="1688" t="s">
        <v>748</v>
      </c>
      <c r="G696" s="3015" t="s">
        <v>40</v>
      </c>
      <c r="H696" s="698">
        <v>90.86</v>
      </c>
      <c r="I696" s="3019">
        <v>5068321</v>
      </c>
      <c r="J696" s="427"/>
      <c r="K696" s="2443"/>
    </row>
    <row r="697" spans="1:11" ht="18" customHeight="1" x14ac:dyDescent="0.25">
      <c r="A697" s="2437" t="s">
        <v>921</v>
      </c>
      <c r="B697" s="4765"/>
      <c r="C697" s="658">
        <v>0.7</v>
      </c>
      <c r="D697" s="1792">
        <v>1315760</v>
      </c>
      <c r="E697" s="427"/>
      <c r="F697" s="2437" t="s">
        <v>2002</v>
      </c>
      <c r="G697" s="2043" t="s">
        <v>40</v>
      </c>
      <c r="H697" s="658">
        <v>84.82</v>
      </c>
      <c r="I697" s="1792">
        <v>5068787</v>
      </c>
      <c r="J697" s="427"/>
      <c r="K697" s="2443"/>
    </row>
    <row r="698" spans="1:11" ht="18" customHeight="1" x14ac:dyDescent="0.25">
      <c r="A698" s="2954" t="s">
        <v>2190</v>
      </c>
      <c r="B698" s="2403" t="s">
        <v>40</v>
      </c>
      <c r="C698" s="658">
        <v>1.4</v>
      </c>
      <c r="D698" s="1792">
        <v>1315760</v>
      </c>
      <c r="E698" s="427"/>
      <c r="F698" s="2796" t="s">
        <v>2483</v>
      </c>
      <c r="G698" s="2403" t="s">
        <v>40</v>
      </c>
      <c r="H698" s="697">
        <v>73.66</v>
      </c>
      <c r="I698" s="1793">
        <v>5072603</v>
      </c>
      <c r="J698" s="427"/>
      <c r="K698" s="2443"/>
    </row>
    <row r="699" spans="1:11" ht="18" customHeight="1" x14ac:dyDescent="0.25">
      <c r="A699" s="3078" t="s">
        <v>601</v>
      </c>
      <c r="B699" s="571"/>
      <c r="C699" s="658">
        <v>1</v>
      </c>
      <c r="D699" s="4766">
        <v>1329901</v>
      </c>
      <c r="E699" s="427"/>
      <c r="F699" s="1688" t="s">
        <v>2482</v>
      </c>
      <c r="G699" s="2043" t="s">
        <v>40</v>
      </c>
      <c r="H699" s="697">
        <v>74.150000000000006</v>
      </c>
      <c r="I699" s="1793">
        <v>5072604</v>
      </c>
      <c r="J699" s="427"/>
      <c r="K699" s="2443"/>
    </row>
    <row r="700" spans="1:11" ht="18" customHeight="1" x14ac:dyDescent="0.25">
      <c r="A700" s="2975" t="s">
        <v>2621</v>
      </c>
      <c r="B700" s="1803"/>
      <c r="C700" s="658">
        <v>41.6</v>
      </c>
      <c r="D700" s="1792">
        <v>1384633</v>
      </c>
      <c r="E700" s="427"/>
      <c r="F700" s="3286" t="s">
        <v>2479</v>
      </c>
      <c r="G700" s="3188" t="s">
        <v>40</v>
      </c>
      <c r="H700" s="697">
        <v>94.55</v>
      </c>
      <c r="I700" s="1793">
        <v>5074364</v>
      </c>
      <c r="J700" s="427"/>
      <c r="K700" s="2443"/>
    </row>
    <row r="701" spans="1:11" ht="18" customHeight="1" x14ac:dyDescent="0.25">
      <c r="A701" s="2323" t="s">
        <v>2637</v>
      </c>
      <c r="B701" s="2043"/>
      <c r="C701" s="658">
        <v>29.5</v>
      </c>
      <c r="D701" s="1792">
        <v>1388815</v>
      </c>
      <c r="E701" s="427"/>
      <c r="F701" s="2323" t="s">
        <v>2558</v>
      </c>
      <c r="G701" s="2043"/>
      <c r="H701" s="658">
        <v>73.2</v>
      </c>
      <c r="I701" s="1792">
        <v>5120375</v>
      </c>
      <c r="J701" s="427"/>
      <c r="K701" s="2443"/>
    </row>
    <row r="702" spans="1:11" ht="18" customHeight="1" x14ac:dyDescent="0.25">
      <c r="A702" s="2323" t="s">
        <v>2640</v>
      </c>
      <c r="B702" s="2043"/>
      <c r="C702" s="672">
        <v>31.6</v>
      </c>
      <c r="D702" s="1792">
        <v>1389286</v>
      </c>
      <c r="E702" s="427"/>
      <c r="F702" s="554" t="s">
        <v>958</v>
      </c>
      <c r="G702" s="571"/>
      <c r="H702" s="697">
        <v>8</v>
      </c>
      <c r="I702" s="439">
        <v>5153538</v>
      </c>
      <c r="J702" s="427"/>
      <c r="K702" s="2443"/>
    </row>
    <row r="703" spans="1:11" ht="18" customHeight="1" x14ac:dyDescent="0.25">
      <c r="A703" s="2972" t="s">
        <v>2558</v>
      </c>
      <c r="B703" s="335"/>
      <c r="C703" s="672">
        <v>15.2</v>
      </c>
      <c r="D703" s="333">
        <v>1409566</v>
      </c>
      <c r="E703" s="427"/>
      <c r="F703" s="3007" t="s">
        <v>2110</v>
      </c>
      <c r="G703" s="329" t="s">
        <v>40</v>
      </c>
      <c r="H703" s="697">
        <v>3.7330000000000001</v>
      </c>
      <c r="I703" s="439">
        <v>5377253</v>
      </c>
      <c r="J703" s="427"/>
      <c r="K703" s="2443"/>
    </row>
    <row r="704" spans="1:11" ht="18" customHeight="1" x14ac:dyDescent="0.25">
      <c r="A704" s="4764" t="s">
        <v>490</v>
      </c>
      <c r="B704" s="335" t="s">
        <v>40</v>
      </c>
      <c r="C704" s="672">
        <v>3</v>
      </c>
      <c r="D704" s="453">
        <v>1546233</v>
      </c>
      <c r="E704" s="427"/>
      <c r="F704" s="1688" t="s">
        <v>1760</v>
      </c>
      <c r="G704" s="335" t="s">
        <v>40</v>
      </c>
      <c r="H704" s="697">
        <v>6.59</v>
      </c>
      <c r="I704" s="1753">
        <v>5391835</v>
      </c>
      <c r="J704" s="427"/>
      <c r="K704" s="2443"/>
    </row>
    <row r="705" spans="1:11" ht="18" customHeight="1" x14ac:dyDescent="0.25">
      <c r="A705" s="4753" t="s">
        <v>2484</v>
      </c>
      <c r="B705" s="3188" t="s">
        <v>40</v>
      </c>
      <c r="C705" s="658">
        <v>196.13</v>
      </c>
      <c r="D705" s="1754">
        <v>1782768</v>
      </c>
      <c r="E705" s="427"/>
      <c r="F705" s="2974" t="s">
        <v>2106</v>
      </c>
      <c r="G705" s="335" t="s">
        <v>40</v>
      </c>
      <c r="H705" s="697">
        <v>5.69</v>
      </c>
      <c r="I705" s="457">
        <v>5391835</v>
      </c>
      <c r="J705" s="427"/>
      <c r="K705" s="2443"/>
    </row>
    <row r="706" spans="1:11" ht="18" customHeight="1" x14ac:dyDescent="0.25">
      <c r="A706" s="499" t="s">
        <v>2483</v>
      </c>
      <c r="B706" s="335" t="s">
        <v>40</v>
      </c>
      <c r="C706" s="697">
        <v>173.84</v>
      </c>
      <c r="D706" s="464">
        <v>1782914</v>
      </c>
      <c r="E706" s="427"/>
      <c r="F706" s="2496" t="s">
        <v>2111</v>
      </c>
      <c r="G706" s="1384" t="s">
        <v>40</v>
      </c>
      <c r="H706" s="698">
        <v>2.1459999999999999</v>
      </c>
      <c r="I706" s="457">
        <v>5405230</v>
      </c>
      <c r="J706" s="427"/>
      <c r="K706" s="2443"/>
    </row>
    <row r="707" spans="1:11" ht="18" customHeight="1" x14ac:dyDescent="0.25">
      <c r="A707" s="495" t="s">
        <v>2002</v>
      </c>
      <c r="B707" s="1569" t="s">
        <v>40</v>
      </c>
      <c r="C707" s="2195">
        <v>22.79</v>
      </c>
      <c r="D707" s="457">
        <v>1784664</v>
      </c>
      <c r="E707" s="427"/>
      <c r="F707" s="2995" t="s">
        <v>2585</v>
      </c>
      <c r="G707" s="1384"/>
      <c r="H707" s="697">
        <v>1</v>
      </c>
      <c r="I707" s="464">
        <v>5405373</v>
      </c>
      <c r="J707" s="427"/>
      <c r="K707" s="2443"/>
    </row>
    <row r="708" spans="1:11" ht="18" customHeight="1" x14ac:dyDescent="0.25">
      <c r="A708" s="1488" t="s">
        <v>748</v>
      </c>
      <c r="B708" s="1569" t="s">
        <v>40</v>
      </c>
      <c r="C708" s="658">
        <v>26.6</v>
      </c>
      <c r="D708" s="457">
        <v>1784700</v>
      </c>
      <c r="E708" s="427"/>
      <c r="F708" s="2048" t="s">
        <v>1761</v>
      </c>
      <c r="G708" s="1384"/>
      <c r="H708" s="698">
        <v>6.27</v>
      </c>
      <c r="I708" s="464">
        <v>5453449</v>
      </c>
      <c r="J708" s="427"/>
      <c r="K708" s="2443"/>
    </row>
    <row r="709" spans="1:11" ht="18" customHeight="1" x14ac:dyDescent="0.25">
      <c r="A709" s="1488" t="s">
        <v>1833</v>
      </c>
      <c r="B709" s="583" t="s">
        <v>40</v>
      </c>
      <c r="C709" s="657">
        <v>9.1289999999999996</v>
      </c>
      <c r="D709" s="457">
        <v>1795248</v>
      </c>
      <c r="E709" s="427"/>
      <c r="F709" s="1726" t="s">
        <v>1767</v>
      </c>
      <c r="G709" s="573"/>
      <c r="H709" s="697">
        <v>2</v>
      </c>
      <c r="I709" s="464">
        <v>5505032</v>
      </c>
      <c r="J709" s="427"/>
      <c r="K709" s="2443"/>
    </row>
    <row r="710" spans="1:11" ht="18" customHeight="1" x14ac:dyDescent="0.25">
      <c r="A710" s="493" t="s">
        <v>1792</v>
      </c>
      <c r="B710" s="3311"/>
      <c r="C710" s="658">
        <v>3.56</v>
      </c>
      <c r="D710" s="438">
        <v>1796575</v>
      </c>
      <c r="E710" s="429"/>
      <c r="F710" s="2048" t="s">
        <v>1762</v>
      </c>
      <c r="G710" s="3314"/>
      <c r="H710" s="698">
        <v>11.9</v>
      </c>
      <c r="I710" s="457">
        <v>5515505</v>
      </c>
      <c r="J710" s="427"/>
      <c r="K710" s="2443"/>
    </row>
    <row r="711" spans="1:11" ht="18" customHeight="1" x14ac:dyDescent="0.25">
      <c r="A711" s="1469" t="s">
        <v>1101</v>
      </c>
      <c r="B711" s="573"/>
      <c r="C711" s="658">
        <v>12.5</v>
      </c>
      <c r="D711" s="457">
        <v>1803709</v>
      </c>
      <c r="E711" s="427"/>
      <c r="F711" s="3312" t="s">
        <v>1104</v>
      </c>
      <c r="G711" s="335" t="s">
        <v>40</v>
      </c>
      <c r="H711" s="697">
        <v>57.06</v>
      </c>
      <c r="I711" s="457">
        <v>5636813</v>
      </c>
      <c r="J711" s="427"/>
      <c r="K711" s="2443"/>
    </row>
    <row r="712" spans="1:11" ht="18" customHeight="1" x14ac:dyDescent="0.25">
      <c r="A712" s="1768" t="s">
        <v>1826</v>
      </c>
      <c r="B712" s="335" t="s">
        <v>40</v>
      </c>
      <c r="C712" s="658">
        <v>2.7829999999999999</v>
      </c>
      <c r="D712" s="457">
        <v>1807634</v>
      </c>
      <c r="E712" s="429"/>
      <c r="F712" s="1505" t="s">
        <v>491</v>
      </c>
      <c r="G712" s="570"/>
      <c r="H712" s="697">
        <v>11.54</v>
      </c>
      <c r="I712" s="464">
        <v>5693179</v>
      </c>
      <c r="J712" s="429"/>
      <c r="K712" s="2443"/>
    </row>
    <row r="713" spans="1:11" ht="18" customHeight="1" x14ac:dyDescent="0.25">
      <c r="A713" s="495" t="s">
        <v>1790</v>
      </c>
      <c r="B713" s="587"/>
      <c r="C713" s="658"/>
      <c r="D713" s="455">
        <v>1807984</v>
      </c>
      <c r="E713" s="429"/>
      <c r="F713" s="554" t="s">
        <v>1763</v>
      </c>
      <c r="G713" s="2197"/>
      <c r="H713" s="697">
        <v>11.43</v>
      </c>
      <c r="I713" s="439">
        <v>5698312</v>
      </c>
      <c r="J713" s="429"/>
      <c r="K713" s="2443"/>
    </row>
    <row r="714" spans="1:11" ht="18" customHeight="1" x14ac:dyDescent="0.25">
      <c r="A714" s="494" t="s">
        <v>575</v>
      </c>
      <c r="B714" s="570"/>
      <c r="C714" s="657">
        <v>2.4</v>
      </c>
      <c r="D714" s="442">
        <v>1808208</v>
      </c>
      <c r="E714" s="429"/>
      <c r="F714" s="497" t="s">
        <v>1575</v>
      </c>
      <c r="G714" s="3315"/>
      <c r="H714" s="697">
        <v>1</v>
      </c>
      <c r="I714" s="440">
        <v>5998688</v>
      </c>
      <c r="J714" s="429"/>
      <c r="K714" s="2443"/>
    </row>
    <row r="715" spans="1:11" ht="18" customHeight="1" x14ac:dyDescent="0.25">
      <c r="A715" s="2983" t="s">
        <v>2217</v>
      </c>
      <c r="B715" s="2480"/>
      <c r="C715" s="658">
        <v>2.7</v>
      </c>
      <c r="D715" s="455">
        <v>1808443</v>
      </c>
      <c r="E715" s="429"/>
      <c r="F715" s="511" t="s">
        <v>2101</v>
      </c>
      <c r="G715" s="335" t="s">
        <v>40</v>
      </c>
      <c r="H715" s="698">
        <v>11.45</v>
      </c>
      <c r="I715" s="442">
        <v>6417074</v>
      </c>
      <c r="J715" s="429"/>
      <c r="K715" s="2443"/>
    </row>
    <row r="716" spans="1:11" ht="18" customHeight="1" x14ac:dyDescent="0.25">
      <c r="A716" s="493" t="s">
        <v>2135</v>
      </c>
      <c r="B716" s="335" t="s">
        <v>40</v>
      </c>
      <c r="C716" s="658">
        <v>9.1</v>
      </c>
      <c r="D716" s="438">
        <v>1808616</v>
      </c>
      <c r="E716" s="429"/>
      <c r="F716" s="1390" t="s">
        <v>1576</v>
      </c>
      <c r="G716" s="335"/>
      <c r="H716" s="697">
        <v>1</v>
      </c>
      <c r="I716" s="455">
        <v>6445443</v>
      </c>
      <c r="J716" s="429"/>
      <c r="K716" s="2443"/>
    </row>
    <row r="717" spans="1:11" ht="18" customHeight="1" x14ac:dyDescent="0.25">
      <c r="A717" s="2491" t="s">
        <v>2585</v>
      </c>
      <c r="B717" s="1384"/>
      <c r="C717" s="658">
        <v>1</v>
      </c>
      <c r="D717" s="457">
        <v>1808628</v>
      </c>
      <c r="E717" s="429"/>
      <c r="F717" s="2196" t="s">
        <v>1792</v>
      </c>
      <c r="G717" s="570"/>
      <c r="H717" s="698">
        <v>15</v>
      </c>
      <c r="I717" s="456">
        <v>6780376</v>
      </c>
      <c r="J717" s="429"/>
      <c r="K717" s="2443"/>
    </row>
    <row r="718" spans="1:11" ht="18" customHeight="1" x14ac:dyDescent="0.25">
      <c r="A718" s="497" t="s">
        <v>1594</v>
      </c>
      <c r="B718" s="1364" t="s">
        <v>40</v>
      </c>
      <c r="C718" s="658">
        <v>0.8</v>
      </c>
      <c r="D718" s="457">
        <v>1810912</v>
      </c>
      <c r="E718" s="429"/>
      <c r="F718" s="502" t="s">
        <v>2026</v>
      </c>
      <c r="G718" s="329"/>
      <c r="H718" s="697">
        <v>3.97</v>
      </c>
      <c r="I718" s="439">
        <v>6834032</v>
      </c>
      <c r="J718" s="429"/>
      <c r="K718" s="2443"/>
    </row>
    <row r="719" spans="1:11" ht="18" customHeight="1" x14ac:dyDescent="0.25">
      <c r="A719" s="1766" t="s">
        <v>1793</v>
      </c>
      <c r="B719" s="587"/>
      <c r="C719" s="658">
        <v>4.5549999999999997</v>
      </c>
      <c r="D719" s="455">
        <v>1811781</v>
      </c>
      <c r="E719" s="429"/>
      <c r="F719" s="497" t="s">
        <v>1833</v>
      </c>
      <c r="G719" s="1384" t="s">
        <v>40</v>
      </c>
      <c r="H719" s="697">
        <v>34.409999999999997</v>
      </c>
      <c r="I719" s="457">
        <v>6873663</v>
      </c>
      <c r="J719" s="429"/>
      <c r="K719" s="2443"/>
    </row>
    <row r="720" spans="1:11" ht="18" customHeight="1" x14ac:dyDescent="0.25">
      <c r="A720" s="2194" t="s">
        <v>2026</v>
      </c>
      <c r="B720" s="335"/>
      <c r="C720" s="658">
        <v>1.5</v>
      </c>
      <c r="D720" s="438">
        <v>1813225</v>
      </c>
      <c r="E720" s="429"/>
      <c r="F720" s="511" t="s">
        <v>2101</v>
      </c>
      <c r="G720" s="1364" t="s">
        <v>40</v>
      </c>
      <c r="H720" s="697">
        <v>3.8</v>
      </c>
      <c r="I720" s="1504">
        <v>6901220</v>
      </c>
      <c r="J720" s="429"/>
      <c r="K720" s="2443"/>
    </row>
    <row r="721" spans="1:11" ht="18" customHeight="1" x14ac:dyDescent="0.25">
      <c r="A721" s="3003" t="s">
        <v>2134</v>
      </c>
      <c r="B721" s="335"/>
      <c r="C721" s="658">
        <v>3.3</v>
      </c>
      <c r="D721" s="438">
        <v>1818078</v>
      </c>
      <c r="E721" s="429"/>
      <c r="F721" s="1390" t="s">
        <v>1764</v>
      </c>
      <c r="G721" s="1364"/>
      <c r="H721" s="697">
        <v>1</v>
      </c>
      <c r="I721" s="457">
        <v>6901409</v>
      </c>
      <c r="J721" s="429"/>
      <c r="K721" s="2443"/>
    </row>
    <row r="722" spans="1:11" ht="18" customHeight="1" x14ac:dyDescent="0.25">
      <c r="A722" s="499" t="s">
        <v>578</v>
      </c>
      <c r="B722" s="579" t="s">
        <v>40</v>
      </c>
      <c r="C722" s="658">
        <v>1.1000000000000001</v>
      </c>
      <c r="D722" s="438">
        <v>1818992</v>
      </c>
      <c r="E722" s="429"/>
      <c r="F722" s="494" t="s">
        <v>1101</v>
      </c>
      <c r="G722" s="3315"/>
      <c r="H722" s="697">
        <v>47.75</v>
      </c>
      <c r="I722" s="439">
        <v>6906416</v>
      </c>
      <c r="J722" s="429"/>
      <c r="K722" s="2443"/>
    </row>
    <row r="723" spans="1:11" ht="18" customHeight="1" x14ac:dyDescent="0.25">
      <c r="A723" s="523" t="s">
        <v>2556</v>
      </c>
      <c r="B723" s="563"/>
      <c r="C723" s="672">
        <v>3.68</v>
      </c>
      <c r="D723" s="438">
        <v>1821454</v>
      </c>
      <c r="E723" s="429"/>
      <c r="F723" s="494" t="s">
        <v>1790</v>
      </c>
      <c r="G723" s="571"/>
      <c r="H723" s="697">
        <v>3.19</v>
      </c>
      <c r="I723" s="439">
        <v>6920432</v>
      </c>
      <c r="J723" s="429"/>
      <c r="K723" s="2443"/>
    </row>
    <row r="724" spans="1:11" ht="18" customHeight="1" x14ac:dyDescent="0.25">
      <c r="A724" s="511" t="s">
        <v>1711</v>
      </c>
      <c r="B724" s="335" t="s">
        <v>40</v>
      </c>
      <c r="C724" s="1520">
        <v>0.88600000000000001</v>
      </c>
      <c r="D724" s="1391">
        <v>1820132</v>
      </c>
      <c r="E724" s="429"/>
      <c r="F724" s="502" t="s">
        <v>1594</v>
      </c>
      <c r="G724" s="329" t="s">
        <v>40</v>
      </c>
      <c r="H724" s="658">
        <v>2.4</v>
      </c>
      <c r="I724" s="455">
        <v>6920792</v>
      </c>
      <c r="J724" s="429"/>
      <c r="K724" s="2443"/>
    </row>
    <row r="725" spans="1:11" ht="18" customHeight="1" x14ac:dyDescent="0.25">
      <c r="A725" s="523" t="s">
        <v>2624</v>
      </c>
      <c r="B725" s="579" t="s">
        <v>40</v>
      </c>
      <c r="C725" s="668">
        <v>0.7</v>
      </c>
      <c r="D725" s="457">
        <v>1826125</v>
      </c>
      <c r="E725" s="429"/>
      <c r="F725" s="1776" t="s">
        <v>1826</v>
      </c>
      <c r="G725" s="335" t="s">
        <v>40</v>
      </c>
      <c r="H725" s="697">
        <v>8.2739999999999991</v>
      </c>
      <c r="I725" s="464">
        <v>6940323</v>
      </c>
      <c r="J725" s="429"/>
      <c r="K725" s="2443"/>
    </row>
    <row r="726" spans="1:11" ht="18" customHeight="1" x14ac:dyDescent="0.25">
      <c r="A726" s="497" t="s">
        <v>2625</v>
      </c>
      <c r="B726" s="335" t="s">
        <v>40</v>
      </c>
      <c r="C726" s="659">
        <v>0.66</v>
      </c>
      <c r="D726" s="440">
        <v>1826390</v>
      </c>
      <c r="E726" s="429"/>
      <c r="F726" s="494" t="s">
        <v>578</v>
      </c>
      <c r="G726" s="634" t="s">
        <v>40</v>
      </c>
      <c r="H726" s="697">
        <v>6.31</v>
      </c>
      <c r="I726" s="439">
        <v>6947060</v>
      </c>
      <c r="J726" s="429"/>
      <c r="K726" s="2443"/>
    </row>
    <row r="727" spans="1:11" ht="18" customHeight="1" x14ac:dyDescent="0.25">
      <c r="A727" s="495" t="s">
        <v>1767</v>
      </c>
      <c r="B727" s="573"/>
      <c r="C727" s="659">
        <v>1</v>
      </c>
      <c r="D727" s="438">
        <v>1827218</v>
      </c>
      <c r="E727" s="429"/>
      <c r="F727" s="3313" t="s">
        <v>2217</v>
      </c>
      <c r="G727" s="585"/>
      <c r="H727" s="718">
        <v>10.6</v>
      </c>
      <c r="I727" s="476">
        <v>6967048</v>
      </c>
      <c r="J727" s="429"/>
      <c r="K727" s="2443"/>
    </row>
    <row r="728" spans="1:11" ht="18" customHeight="1" x14ac:dyDescent="0.25">
      <c r="A728" s="2981" t="s">
        <v>2152</v>
      </c>
      <c r="B728" s="335" t="s">
        <v>40</v>
      </c>
      <c r="C728" s="658">
        <v>1</v>
      </c>
      <c r="D728" s="440">
        <v>1827243</v>
      </c>
      <c r="E728" s="429"/>
      <c r="F728" s="497" t="s">
        <v>575</v>
      </c>
      <c r="G728" s="569"/>
      <c r="H728" s="697">
        <v>8.4499999999999993</v>
      </c>
      <c r="I728" s="439">
        <v>6967148</v>
      </c>
      <c r="J728" s="429"/>
      <c r="K728" s="2443"/>
    </row>
    <row r="729" spans="1:11" ht="18" customHeight="1" x14ac:dyDescent="0.25">
      <c r="A729" s="510" t="s">
        <v>1756</v>
      </c>
      <c r="B729" s="592" t="s">
        <v>40</v>
      </c>
      <c r="C729" s="658">
        <v>0.56000000000000005</v>
      </c>
      <c r="D729" s="438">
        <v>1828850</v>
      </c>
      <c r="E729" s="429"/>
      <c r="F729" s="539" t="s">
        <v>1793</v>
      </c>
      <c r="G729" s="577"/>
      <c r="H729" s="697">
        <v>4.03</v>
      </c>
      <c r="I729" s="455">
        <v>6972597</v>
      </c>
      <c r="J729" s="429"/>
      <c r="K729" s="2443"/>
    </row>
    <row r="730" spans="1:11" ht="18" customHeight="1" x14ac:dyDescent="0.25">
      <c r="A730" s="493" t="s">
        <v>1959</v>
      </c>
      <c r="B730" s="576"/>
      <c r="C730" s="659"/>
      <c r="D730" s="438">
        <v>1829710</v>
      </c>
      <c r="E730" s="429"/>
      <c r="F730" s="2194" t="s">
        <v>1711</v>
      </c>
      <c r="G730" s="579" t="s">
        <v>40</v>
      </c>
      <c r="H730" s="697">
        <v>1.8740000000000001</v>
      </c>
      <c r="I730" s="439">
        <v>7001163</v>
      </c>
      <c r="J730" s="423"/>
      <c r="K730" s="2443"/>
    </row>
    <row r="731" spans="1:11" ht="18" customHeight="1" x14ac:dyDescent="0.25">
      <c r="A731" s="493" t="s">
        <v>1758</v>
      </c>
      <c r="B731" s="2085"/>
      <c r="C731" s="658"/>
      <c r="D731" s="438">
        <v>1830076</v>
      </c>
      <c r="E731" s="429"/>
      <c r="F731" s="493" t="s">
        <v>2135</v>
      </c>
      <c r="G731" s="571" t="s">
        <v>40</v>
      </c>
      <c r="H731" s="658">
        <v>29.6</v>
      </c>
      <c r="I731" s="455">
        <v>7040231</v>
      </c>
      <c r="J731" s="429"/>
      <c r="K731" s="2443"/>
    </row>
    <row r="732" spans="1:11" ht="18" customHeight="1" x14ac:dyDescent="0.25">
      <c r="A732" s="2975" t="s">
        <v>2626</v>
      </c>
      <c r="B732" s="573"/>
      <c r="C732" s="659">
        <v>0.64900000000000002</v>
      </c>
      <c r="D732" s="440">
        <v>1831004</v>
      </c>
      <c r="E732" s="429"/>
      <c r="F732" s="2986" t="s">
        <v>2190</v>
      </c>
      <c r="G732" s="571" t="s">
        <v>40</v>
      </c>
      <c r="H732" s="697">
        <v>3.9</v>
      </c>
      <c r="I732" s="439">
        <v>7054741</v>
      </c>
      <c r="J732" s="429"/>
      <c r="K732" s="2443"/>
    </row>
    <row r="733" spans="1:11" ht="18" customHeight="1" x14ac:dyDescent="0.25">
      <c r="A733" s="1437" t="s">
        <v>1102</v>
      </c>
      <c r="B733" s="335" t="s">
        <v>40</v>
      </c>
      <c r="C733" s="658">
        <v>1</v>
      </c>
      <c r="D733" s="438">
        <v>1832824</v>
      </c>
      <c r="E733" s="429"/>
      <c r="F733" s="1390" t="s">
        <v>921</v>
      </c>
      <c r="G733" s="562"/>
      <c r="H733" s="697">
        <v>2.54</v>
      </c>
      <c r="I733" s="439">
        <v>7054742</v>
      </c>
      <c r="J733" s="429"/>
      <c r="K733" s="2443"/>
    </row>
    <row r="734" spans="1:11" ht="18" customHeight="1" x14ac:dyDescent="0.25">
      <c r="A734" s="511" t="s">
        <v>1759</v>
      </c>
      <c r="B734" s="573"/>
      <c r="C734" s="660"/>
      <c r="D734" s="457">
        <v>1835520</v>
      </c>
      <c r="E734" s="427"/>
      <c r="F734" s="554" t="s">
        <v>544</v>
      </c>
      <c r="G734" s="571"/>
      <c r="H734" s="697">
        <v>1.34</v>
      </c>
      <c r="I734" s="455">
        <v>7054742</v>
      </c>
      <c r="J734" s="429"/>
      <c r="K734" s="2443"/>
    </row>
    <row r="735" spans="1:11" ht="18" customHeight="1" x14ac:dyDescent="0.25">
      <c r="A735" s="2498" t="s">
        <v>1100</v>
      </c>
      <c r="B735" s="594" t="s">
        <v>40</v>
      </c>
      <c r="C735" s="658">
        <v>0.48399999999999999</v>
      </c>
      <c r="D735" s="438">
        <v>1849799</v>
      </c>
      <c r="E735" s="429"/>
      <c r="F735" s="2981" t="s">
        <v>1100</v>
      </c>
      <c r="G735" s="335" t="s">
        <v>40</v>
      </c>
      <c r="H735" s="698">
        <v>1.92</v>
      </c>
      <c r="I735" s="464">
        <v>7055921</v>
      </c>
      <c r="J735" s="429"/>
      <c r="K735" s="2443"/>
    </row>
    <row r="736" spans="1:11" ht="18" customHeight="1" x14ac:dyDescent="0.25">
      <c r="A736" s="498" t="s">
        <v>503</v>
      </c>
      <c r="B736" s="562"/>
      <c r="C736" s="658"/>
      <c r="D736" s="438">
        <v>1854179</v>
      </c>
      <c r="E736" s="429"/>
      <c r="F736" s="493" t="s">
        <v>1758</v>
      </c>
      <c r="G736" s="3316"/>
      <c r="H736" s="697">
        <v>13.6</v>
      </c>
      <c r="I736" s="439">
        <v>7067930</v>
      </c>
      <c r="J736" s="429"/>
      <c r="K736" s="2443"/>
    </row>
    <row r="737" spans="1:11" ht="18" customHeight="1" x14ac:dyDescent="0.25">
      <c r="A737" s="497" t="s">
        <v>1768</v>
      </c>
      <c r="B737" s="574"/>
      <c r="C737" s="659"/>
      <c r="D737" s="239">
        <v>1884377</v>
      </c>
      <c r="E737" s="429"/>
      <c r="F737" s="497" t="s">
        <v>1756</v>
      </c>
      <c r="G737" s="571" t="s">
        <v>40</v>
      </c>
      <c r="H737" s="697">
        <v>3.37</v>
      </c>
      <c r="I737" s="439">
        <v>7076758</v>
      </c>
      <c r="J737" s="429"/>
      <c r="K737" s="2443"/>
    </row>
    <row r="738" spans="1:11" ht="18" customHeight="1" x14ac:dyDescent="0.25">
      <c r="A738" s="529" t="s">
        <v>545</v>
      </c>
      <c r="B738" s="573"/>
      <c r="C738" s="659"/>
      <c r="D738" s="453" t="s">
        <v>481</v>
      </c>
      <c r="E738" s="429"/>
      <c r="F738" s="500" t="s">
        <v>1959</v>
      </c>
      <c r="G738" s="644"/>
      <c r="H738" s="697">
        <v>1</v>
      </c>
      <c r="I738" s="239">
        <v>7090050</v>
      </c>
      <c r="J738" s="429"/>
      <c r="K738" s="2443"/>
    </row>
    <row r="739" spans="1:11" ht="18" customHeight="1" x14ac:dyDescent="0.25">
      <c r="A739" s="530" t="s">
        <v>487</v>
      </c>
      <c r="B739" s="630"/>
      <c r="C739" s="658"/>
      <c r="D739" s="453" t="s">
        <v>481</v>
      </c>
      <c r="E739" s="429"/>
      <c r="F739" s="523" t="s">
        <v>2152</v>
      </c>
      <c r="G739" s="335" t="s">
        <v>40</v>
      </c>
      <c r="H739" s="697">
        <v>1</v>
      </c>
      <c r="I739" s="439">
        <v>7091171</v>
      </c>
      <c r="J739" s="429"/>
      <c r="K739" s="2443"/>
    </row>
    <row r="740" spans="1:11" ht="18" customHeight="1" x14ac:dyDescent="0.25">
      <c r="A740" s="498" t="s">
        <v>544</v>
      </c>
      <c r="B740" s="335"/>
      <c r="C740" s="658"/>
      <c r="D740" s="453" t="s">
        <v>481</v>
      </c>
      <c r="E740" s="427"/>
      <c r="F740" s="2981" t="s">
        <v>2556</v>
      </c>
      <c r="G740" s="563"/>
      <c r="H740" s="658">
        <v>11</v>
      </c>
      <c r="I740" s="455">
        <v>7094332</v>
      </c>
      <c r="J740" s="429"/>
      <c r="K740" s="2443"/>
    </row>
    <row r="741" spans="1:11" ht="18" customHeight="1" x14ac:dyDescent="0.25">
      <c r="A741" s="531" t="s">
        <v>488</v>
      </c>
      <c r="B741" s="573"/>
      <c r="C741" s="659"/>
      <c r="D741" s="453" t="s">
        <v>481</v>
      </c>
      <c r="E741" s="429"/>
      <c r="F741" s="3007" t="s">
        <v>2624</v>
      </c>
      <c r="G741" s="575" t="s">
        <v>40</v>
      </c>
      <c r="H741" s="697">
        <v>2</v>
      </c>
      <c r="I741" s="455">
        <v>7095361</v>
      </c>
      <c r="J741" s="429"/>
      <c r="K741" s="2443"/>
    </row>
    <row r="742" spans="1:11" ht="18" customHeight="1" x14ac:dyDescent="0.25">
      <c r="A742" s="532" t="s">
        <v>492</v>
      </c>
      <c r="B742" s="630"/>
      <c r="C742" s="658"/>
      <c r="D742" s="453" t="s">
        <v>481</v>
      </c>
      <c r="E742" s="429"/>
      <c r="F742" s="494" t="s">
        <v>2625</v>
      </c>
      <c r="G742" s="571" t="s">
        <v>40</v>
      </c>
      <c r="H742" s="697">
        <v>1.85</v>
      </c>
      <c r="I742" s="439">
        <v>7095608</v>
      </c>
      <c r="J742" s="427"/>
      <c r="K742" s="2443"/>
    </row>
    <row r="743" spans="1:11" ht="18" customHeight="1" x14ac:dyDescent="0.25">
      <c r="A743" s="533" t="s">
        <v>563</v>
      </c>
      <c r="B743" s="335"/>
      <c r="C743" s="658"/>
      <c r="D743" s="453" t="s">
        <v>481</v>
      </c>
      <c r="E743" s="429"/>
      <c r="F743" s="2493" t="s">
        <v>2134</v>
      </c>
      <c r="G743" s="601"/>
      <c r="H743" s="658">
        <v>8.6</v>
      </c>
      <c r="I743" s="455">
        <v>7097517</v>
      </c>
      <c r="J743" s="429"/>
      <c r="K743" s="2443"/>
    </row>
    <row r="744" spans="1:11" ht="18" customHeight="1" x14ac:dyDescent="0.25">
      <c r="A744" s="533" t="s">
        <v>589</v>
      </c>
      <c r="B744" s="573"/>
      <c r="C744" s="659"/>
      <c r="D744" s="453" t="s">
        <v>481</v>
      </c>
      <c r="E744" s="429"/>
      <c r="F744" s="497" t="s">
        <v>1768</v>
      </c>
      <c r="G744" s="597"/>
      <c r="H744" s="697">
        <v>1</v>
      </c>
      <c r="I744" s="439">
        <v>7100538</v>
      </c>
      <c r="J744" s="429"/>
      <c r="K744" s="2443"/>
    </row>
    <row r="745" spans="1:11" ht="18" customHeight="1" x14ac:dyDescent="0.25">
      <c r="A745" s="534" t="s">
        <v>1763</v>
      </c>
      <c r="B745" s="573"/>
      <c r="C745" s="659"/>
      <c r="D745" s="453" t="s">
        <v>481</v>
      </c>
      <c r="E745" s="429"/>
      <c r="F745" s="2313" t="s">
        <v>2626</v>
      </c>
      <c r="G745" s="576"/>
      <c r="H745" s="659">
        <v>0.73</v>
      </c>
      <c r="I745" s="439">
        <v>7104516</v>
      </c>
      <c r="J745" s="429"/>
      <c r="K745" s="2443"/>
    </row>
    <row r="746" spans="1:11" ht="18" customHeight="1" x14ac:dyDescent="0.25">
      <c r="A746" s="555" t="s">
        <v>577</v>
      </c>
      <c r="B746" s="630"/>
      <c r="C746" s="658"/>
      <c r="D746" s="453" t="s">
        <v>481</v>
      </c>
      <c r="E746" s="429"/>
      <c r="F746" s="1437" t="s">
        <v>1102</v>
      </c>
      <c r="G746" s="571" t="s">
        <v>40</v>
      </c>
      <c r="H746" s="697">
        <v>1</v>
      </c>
      <c r="I746" s="439">
        <v>7115621</v>
      </c>
      <c r="J746" s="429"/>
      <c r="K746" s="2443"/>
    </row>
    <row r="747" spans="1:11" ht="18" customHeight="1" x14ac:dyDescent="0.25">
      <c r="A747" s="1763" t="s">
        <v>1762</v>
      </c>
      <c r="B747" s="631"/>
      <c r="C747" s="658"/>
      <c r="D747" s="453" t="s">
        <v>481</v>
      </c>
      <c r="E747" s="429"/>
      <c r="F747" s="510" t="s">
        <v>1759</v>
      </c>
      <c r="G747" s="576"/>
      <c r="H747" s="697">
        <v>3</v>
      </c>
      <c r="I747" s="439">
        <v>7120649</v>
      </c>
      <c r="J747" s="429"/>
      <c r="K747" s="2443"/>
    </row>
    <row r="748" spans="1:11" ht="18" customHeight="1" x14ac:dyDescent="0.25">
      <c r="A748" s="1467" t="s">
        <v>489</v>
      </c>
      <c r="B748" s="1468"/>
      <c r="C748" s="658"/>
      <c r="D748" s="1464" t="s">
        <v>481</v>
      </c>
      <c r="E748" s="429"/>
      <c r="F748" s="528" t="s">
        <v>503</v>
      </c>
      <c r="G748" s="394"/>
      <c r="H748" s="697"/>
      <c r="I748" s="1476">
        <v>7132151</v>
      </c>
      <c r="J748" s="429"/>
      <c r="K748" s="2443"/>
    </row>
    <row r="749" spans="1:11" ht="18" customHeight="1" x14ac:dyDescent="0.25">
      <c r="A749" s="142"/>
      <c r="B749" s="448"/>
      <c r="C749" s="677"/>
      <c r="D749" s="229"/>
      <c r="E749" s="429"/>
      <c r="F749" s="2075" t="s">
        <v>589</v>
      </c>
      <c r="G749" s="2076"/>
      <c r="H749" s="2077">
        <v>6</v>
      </c>
      <c r="I749" s="2078">
        <v>64131508</v>
      </c>
      <c r="J749" s="429"/>
      <c r="K749" s="2443"/>
    </row>
    <row r="750" spans="1:11" ht="18" customHeight="1" x14ac:dyDescent="0.25">
      <c r="A750" s="142"/>
      <c r="B750" s="448"/>
      <c r="C750" s="677"/>
      <c r="D750" s="229"/>
      <c r="E750" s="429"/>
      <c r="F750" s="2079"/>
      <c r="G750" s="2080"/>
      <c r="H750" s="2071"/>
      <c r="I750" s="2064"/>
      <c r="J750" s="429"/>
      <c r="K750" s="2443"/>
    </row>
    <row r="751" spans="1:11" ht="18" customHeight="1" x14ac:dyDescent="0.25">
      <c r="A751" s="525"/>
      <c r="B751" s="449"/>
      <c r="C751" s="673"/>
      <c r="D751" s="449"/>
      <c r="E751" s="429"/>
      <c r="F751" s="537"/>
      <c r="G751" s="526"/>
      <c r="H751" s="719"/>
      <c r="I751" s="229"/>
      <c r="J751" s="429"/>
      <c r="K751" s="2443"/>
    </row>
    <row r="752" spans="1:11" ht="24" customHeight="1" x14ac:dyDescent="0.25">
      <c r="A752" s="1624" t="s">
        <v>598</v>
      </c>
      <c r="B752" s="603"/>
      <c r="C752" s="2430" t="s">
        <v>480</v>
      </c>
      <c r="D752" s="435" t="s">
        <v>2500</v>
      </c>
      <c r="E752" s="429"/>
      <c r="F752" s="537"/>
      <c r="G752" s="526"/>
      <c r="H752" s="719"/>
      <c r="I752" s="229"/>
      <c r="J752" s="429"/>
      <c r="K752" s="2443"/>
    </row>
    <row r="753" spans="1:11" ht="18" customHeight="1" x14ac:dyDescent="0.25">
      <c r="A753" s="4726" t="s">
        <v>2790</v>
      </c>
      <c r="B753" s="3099" t="s">
        <v>40</v>
      </c>
      <c r="C753" s="670">
        <v>508.15</v>
      </c>
      <c r="D753" s="2854">
        <v>1769303</v>
      </c>
      <c r="E753" s="429"/>
      <c r="F753" s="537"/>
      <c r="G753" s="526"/>
      <c r="H753" s="719"/>
      <c r="I753" s="229"/>
      <c r="J753" s="429"/>
      <c r="K753" s="2443"/>
    </row>
    <row r="754" spans="1:11" ht="18" customHeight="1" x14ac:dyDescent="0.25">
      <c r="A754" s="4759" t="s">
        <v>2792</v>
      </c>
      <c r="B754" s="3372" t="s">
        <v>40</v>
      </c>
      <c r="C754" s="4639">
        <v>423.5</v>
      </c>
      <c r="D754" s="4640">
        <v>1769322</v>
      </c>
      <c r="E754" s="429"/>
      <c r="F754" s="537"/>
      <c r="G754" s="526"/>
      <c r="H754" s="719"/>
      <c r="I754" s="229"/>
      <c r="J754" s="429"/>
      <c r="K754" s="2443"/>
    </row>
    <row r="755" spans="1:11" ht="18" customHeight="1" x14ac:dyDescent="0.25">
      <c r="A755" s="4769" t="s">
        <v>2784</v>
      </c>
      <c r="B755" s="3372" t="s">
        <v>40</v>
      </c>
      <c r="C755" s="4589">
        <v>352.26</v>
      </c>
      <c r="D755" s="4590">
        <v>1803992</v>
      </c>
      <c r="E755" s="429"/>
      <c r="F755" s="537"/>
      <c r="G755" s="526"/>
      <c r="H755" s="719"/>
      <c r="I755" s="229"/>
      <c r="J755" s="429"/>
      <c r="K755" s="2443"/>
    </row>
    <row r="756" spans="1:11" ht="18" customHeight="1" x14ac:dyDescent="0.25">
      <c r="A756" s="1688" t="s">
        <v>2502</v>
      </c>
      <c r="B756" s="563" t="s">
        <v>40</v>
      </c>
      <c r="C756" s="658">
        <v>209.16</v>
      </c>
      <c r="D756" s="3016">
        <v>1967729</v>
      </c>
      <c r="E756" s="429"/>
      <c r="F756" s="537"/>
      <c r="G756" s="526"/>
      <c r="H756" s="719"/>
      <c r="I756" s="229"/>
      <c r="J756" s="429"/>
      <c r="K756" s="2443"/>
    </row>
    <row r="757" spans="1:11" ht="18" customHeight="1" x14ac:dyDescent="0.25">
      <c r="A757" s="2974" t="s">
        <v>2469</v>
      </c>
      <c r="B757" s="563" t="s">
        <v>40</v>
      </c>
      <c r="C757" s="657">
        <v>1872.79</v>
      </c>
      <c r="D757" s="457">
        <v>2828334</v>
      </c>
      <c r="E757" s="429"/>
      <c r="F757" s="537"/>
      <c r="G757" s="526"/>
      <c r="H757" s="719"/>
      <c r="I757" s="229"/>
      <c r="J757" s="429"/>
      <c r="K757" s="2443"/>
    </row>
    <row r="758" spans="1:11" ht="18" customHeight="1" x14ac:dyDescent="0.25">
      <c r="A758" s="1488" t="s">
        <v>2482</v>
      </c>
      <c r="B758" s="1384" t="s">
        <v>40</v>
      </c>
      <c r="C758" s="658">
        <v>2269.77</v>
      </c>
      <c r="D758" s="1792">
        <v>2852738</v>
      </c>
      <c r="E758" s="429"/>
      <c r="F758" s="537"/>
      <c r="G758" s="526"/>
      <c r="H758" s="719"/>
      <c r="I758" s="229"/>
      <c r="J758" s="429"/>
      <c r="K758" s="2443"/>
    </row>
    <row r="759" spans="1:11" ht="18" customHeight="1" x14ac:dyDescent="0.25">
      <c r="A759" s="3286" t="s">
        <v>2478</v>
      </c>
      <c r="B759" s="4737" t="s">
        <v>40</v>
      </c>
      <c r="C759" s="3191">
        <v>1554.42</v>
      </c>
      <c r="D759" s="3195">
        <v>2854047</v>
      </c>
      <c r="E759" s="429"/>
      <c r="F759" s="537"/>
      <c r="G759" s="526"/>
      <c r="H759" s="719"/>
      <c r="I759" s="229"/>
      <c r="J759" s="429"/>
      <c r="K759" s="2443"/>
    </row>
    <row r="760" spans="1:11" ht="18" customHeight="1" x14ac:dyDescent="0.25">
      <c r="A760" s="3286" t="s">
        <v>2479</v>
      </c>
      <c r="B760" s="3188" t="s">
        <v>40</v>
      </c>
      <c r="C760" s="657">
        <v>1611</v>
      </c>
      <c r="D760" s="3016">
        <v>2884458</v>
      </c>
      <c r="E760" s="429"/>
      <c r="F760" s="537"/>
      <c r="G760" s="526"/>
      <c r="H760" s="719"/>
      <c r="I760" s="229"/>
      <c r="J760" s="429"/>
      <c r="K760" s="2443"/>
    </row>
    <row r="761" spans="1:11" ht="18" customHeight="1" x14ac:dyDescent="0.25">
      <c r="A761" s="4632" t="s">
        <v>2495</v>
      </c>
      <c r="B761" s="3015" t="s">
        <v>40</v>
      </c>
      <c r="C761" s="657">
        <v>163.58000000000001</v>
      </c>
      <c r="D761" s="3016">
        <v>3019085</v>
      </c>
      <c r="E761" s="429"/>
      <c r="F761" s="537"/>
      <c r="G761" s="526"/>
      <c r="H761" s="719"/>
      <c r="I761" s="229"/>
      <c r="J761" s="429"/>
      <c r="K761" s="2443"/>
    </row>
    <row r="762" spans="1:11" ht="18" customHeight="1" x14ac:dyDescent="0.25">
      <c r="A762" s="1688" t="s">
        <v>2002</v>
      </c>
      <c r="B762" s="3015" t="s">
        <v>40</v>
      </c>
      <c r="C762" s="657">
        <v>151.09</v>
      </c>
      <c r="D762" s="3016">
        <v>3019413</v>
      </c>
      <c r="E762" s="429"/>
      <c r="F762" s="537"/>
      <c r="G762" s="526"/>
      <c r="H762" s="719"/>
      <c r="I762" s="229"/>
      <c r="J762" s="429"/>
      <c r="K762" s="2443"/>
    </row>
    <row r="763" spans="1:11" ht="18" customHeight="1" x14ac:dyDescent="0.25">
      <c r="A763" s="2990" t="s">
        <v>2585</v>
      </c>
      <c r="B763" s="2043"/>
      <c r="C763" s="658">
        <v>11</v>
      </c>
      <c r="D763" s="1792">
        <v>3439325</v>
      </c>
      <c r="E763" s="429"/>
      <c r="F763" s="537"/>
      <c r="G763" s="526"/>
      <c r="H763" s="719"/>
      <c r="I763" s="229"/>
      <c r="J763" s="429"/>
      <c r="K763" s="2443"/>
    </row>
    <row r="764" spans="1:11" ht="18" customHeight="1" x14ac:dyDescent="0.25">
      <c r="A764" s="3317" t="s">
        <v>1836</v>
      </c>
      <c r="B764" s="2403" t="s">
        <v>40</v>
      </c>
      <c r="C764" s="658">
        <f>28.442+8</f>
        <v>36.442</v>
      </c>
      <c r="D764" s="1792">
        <v>3470529</v>
      </c>
      <c r="E764" s="429"/>
      <c r="F764" s="537"/>
      <c r="G764" s="526"/>
      <c r="H764" s="719"/>
      <c r="I764" s="229"/>
      <c r="J764" s="429"/>
      <c r="K764" s="2443"/>
    </row>
    <row r="765" spans="1:11" ht="18" customHeight="1" x14ac:dyDescent="0.25">
      <c r="A765" s="2448" t="s">
        <v>1835</v>
      </c>
      <c r="B765" s="335"/>
      <c r="C765" s="658">
        <f>2.272+8</f>
        <v>10.272</v>
      </c>
      <c r="D765" s="457">
        <v>3471106</v>
      </c>
      <c r="E765" s="429"/>
      <c r="F765" s="537"/>
      <c r="G765" s="526"/>
      <c r="H765" s="719"/>
      <c r="I765" s="229"/>
      <c r="J765" s="429"/>
      <c r="K765" s="2443"/>
    </row>
    <row r="766" spans="1:11" ht="18" customHeight="1" x14ac:dyDescent="0.25">
      <c r="A766" s="2444" t="s">
        <v>1847</v>
      </c>
      <c r="B766" s="2043" t="s">
        <v>40</v>
      </c>
      <c r="C766" s="658">
        <f>2.738+8</f>
        <v>10.738</v>
      </c>
      <c r="D766" s="1792">
        <v>3473143</v>
      </c>
      <c r="E766" s="429"/>
      <c r="F766" s="537"/>
      <c r="G766" s="526"/>
      <c r="H766" s="719"/>
      <c r="I766" s="229"/>
      <c r="J766" s="429"/>
      <c r="K766" s="2443"/>
    </row>
    <row r="767" spans="1:11" ht="18" customHeight="1" x14ac:dyDescent="0.25">
      <c r="A767" s="2975" t="s">
        <v>2190</v>
      </c>
      <c r="B767" s="2043" t="s">
        <v>40</v>
      </c>
      <c r="C767" s="658">
        <v>6.78</v>
      </c>
      <c r="D767" s="1792">
        <v>3726773</v>
      </c>
      <c r="E767" s="429"/>
      <c r="F767" s="537"/>
      <c r="G767" s="526"/>
      <c r="H767" s="719"/>
      <c r="I767" s="229"/>
      <c r="J767" s="429"/>
      <c r="K767" s="2443"/>
    </row>
    <row r="768" spans="1:11" ht="18" customHeight="1" x14ac:dyDescent="0.25">
      <c r="A768" s="2973" t="s">
        <v>2217</v>
      </c>
      <c r="B768" s="3322"/>
      <c r="C768" s="658">
        <v>41.2</v>
      </c>
      <c r="D768" s="457">
        <v>3833798</v>
      </c>
      <c r="E768" s="429"/>
      <c r="F768" s="537"/>
      <c r="G768" s="526"/>
      <c r="H768" s="719"/>
      <c r="I768" s="229"/>
      <c r="J768" s="429"/>
      <c r="K768" s="2443"/>
    </row>
    <row r="769" spans="1:11" ht="18" customHeight="1" x14ac:dyDescent="0.25">
      <c r="A769" s="1390" t="s">
        <v>575</v>
      </c>
      <c r="B769" s="589"/>
      <c r="C769" s="658">
        <v>47.4</v>
      </c>
      <c r="D769" s="1754">
        <v>3834760</v>
      </c>
      <c r="E769" s="429"/>
      <c r="F769" s="537"/>
      <c r="G769" s="526"/>
      <c r="H769" s="719"/>
      <c r="I769" s="229"/>
      <c r="J769" s="429"/>
      <c r="K769" s="2443"/>
    </row>
    <row r="770" spans="1:11" ht="18" customHeight="1" x14ac:dyDescent="0.25">
      <c r="A770" s="500" t="s">
        <v>2099</v>
      </c>
      <c r="B770" s="335" t="s">
        <v>40</v>
      </c>
      <c r="C770" s="658">
        <v>524.70000000000005</v>
      </c>
      <c r="D770" s="1504">
        <v>3842573</v>
      </c>
      <c r="E770" s="429"/>
      <c r="F770" s="537"/>
      <c r="G770" s="526"/>
      <c r="H770" s="719"/>
      <c r="I770" s="229"/>
      <c r="J770" s="429"/>
      <c r="K770" s="2443"/>
    </row>
    <row r="771" spans="1:11" ht="18" customHeight="1" x14ac:dyDescent="0.25">
      <c r="A771" s="3318" t="s">
        <v>2100</v>
      </c>
      <c r="B771" s="2161"/>
      <c r="C771" s="658">
        <v>72.3</v>
      </c>
      <c r="D771" s="1791">
        <v>4399693</v>
      </c>
      <c r="E771" s="429"/>
      <c r="F771" s="537"/>
      <c r="G771" s="526"/>
      <c r="H771" s="719"/>
      <c r="I771" s="229"/>
      <c r="J771" s="429"/>
      <c r="K771" s="2443"/>
    </row>
    <row r="772" spans="1:11" ht="18" customHeight="1" x14ac:dyDescent="0.25">
      <c r="A772" s="3319" t="s">
        <v>490</v>
      </c>
      <c r="B772" s="335" t="s">
        <v>40</v>
      </c>
      <c r="C772" s="658" t="s">
        <v>450</v>
      </c>
      <c r="D772" s="1504">
        <v>4401648</v>
      </c>
      <c r="E772" s="429"/>
      <c r="F772" s="537"/>
      <c r="G772" s="526"/>
      <c r="H772" s="719"/>
      <c r="I772" s="229"/>
      <c r="J772" s="429"/>
      <c r="K772" s="2443"/>
    </row>
    <row r="773" spans="1:11" ht="18" customHeight="1" x14ac:dyDescent="0.25">
      <c r="A773" s="2491" t="s">
        <v>2621</v>
      </c>
      <c r="B773" s="335"/>
      <c r="C773" s="658">
        <v>1623.5</v>
      </c>
      <c r="D773" s="457">
        <v>4637054</v>
      </c>
      <c r="E773" s="429"/>
      <c r="F773" s="537"/>
      <c r="G773" s="526"/>
      <c r="H773" s="719"/>
      <c r="I773" s="229"/>
      <c r="J773" s="429"/>
      <c r="K773" s="2443"/>
    </row>
    <row r="774" spans="1:11" ht="18" customHeight="1" x14ac:dyDescent="0.25">
      <c r="A774" s="3320" t="s">
        <v>748</v>
      </c>
      <c r="B774" s="335" t="s">
        <v>40</v>
      </c>
      <c r="C774" s="658">
        <v>69.62</v>
      </c>
      <c r="D774" s="1792">
        <v>4650725</v>
      </c>
      <c r="E774" s="429"/>
      <c r="F774" s="537"/>
      <c r="G774" s="526"/>
      <c r="H774" s="719"/>
      <c r="I774" s="229"/>
      <c r="J774" s="429"/>
      <c r="K774" s="2443"/>
    </row>
    <row r="775" spans="1:11" ht="18" customHeight="1" x14ac:dyDescent="0.25">
      <c r="A775" s="3321" t="s">
        <v>2484</v>
      </c>
      <c r="B775" s="575" t="s">
        <v>40</v>
      </c>
      <c r="C775" s="659">
        <v>560.27</v>
      </c>
      <c r="D775" s="438">
        <v>4651675</v>
      </c>
      <c r="E775" s="429"/>
      <c r="F775" s="537"/>
      <c r="G775" s="526"/>
      <c r="H775" s="719"/>
      <c r="I775" s="229"/>
      <c r="J775" s="429"/>
      <c r="K775" s="2443"/>
    </row>
    <row r="776" spans="1:11" ht="18" customHeight="1" x14ac:dyDescent="0.25">
      <c r="A776" s="493" t="s">
        <v>2483</v>
      </c>
      <c r="B776" s="335" t="s">
        <v>40</v>
      </c>
      <c r="C776" s="659">
        <v>442.22</v>
      </c>
      <c r="D776" s="438">
        <v>4652116</v>
      </c>
      <c r="E776" s="429"/>
      <c r="F776" s="537"/>
      <c r="G776" s="526"/>
      <c r="H776" s="719"/>
      <c r="I776" s="229"/>
      <c r="J776" s="429"/>
      <c r="K776" s="2443"/>
    </row>
    <row r="777" spans="1:11" ht="18" customHeight="1" x14ac:dyDescent="0.25">
      <c r="A777" s="495" t="s">
        <v>1792</v>
      </c>
      <c r="B777" s="570"/>
      <c r="C777" s="658">
        <v>8.3000000000000007</v>
      </c>
      <c r="D777" s="438">
        <v>4655891</v>
      </c>
      <c r="E777" s="429"/>
      <c r="F777" s="537"/>
      <c r="G777" s="526"/>
      <c r="H777" s="719"/>
      <c r="I777" s="229"/>
      <c r="J777" s="429"/>
      <c r="K777" s="2443"/>
    </row>
    <row r="778" spans="1:11" ht="18" customHeight="1" x14ac:dyDescent="0.25">
      <c r="A778" s="495" t="s">
        <v>1833</v>
      </c>
      <c r="B778" s="571" t="s">
        <v>40</v>
      </c>
      <c r="C778" s="657">
        <v>23.071000000000002</v>
      </c>
      <c r="D778" s="438">
        <v>4657895</v>
      </c>
      <c r="E778" s="429"/>
      <c r="F778" s="537"/>
      <c r="G778" s="526"/>
      <c r="H778" s="719"/>
      <c r="I778" s="229"/>
      <c r="J778" s="429"/>
      <c r="K778" s="2443"/>
    </row>
    <row r="779" spans="1:11" ht="18" customHeight="1" x14ac:dyDescent="0.25">
      <c r="A779" s="2966" t="s">
        <v>2623</v>
      </c>
      <c r="B779" s="583"/>
      <c r="C779" s="657">
        <v>73.099999999999994</v>
      </c>
      <c r="D779" s="442">
        <v>4660169</v>
      </c>
      <c r="E779" s="429"/>
      <c r="F779" s="537"/>
      <c r="G779" s="526"/>
      <c r="H779" s="719"/>
      <c r="I779" s="229"/>
      <c r="J779" s="429"/>
      <c r="K779" s="2443"/>
    </row>
    <row r="780" spans="1:11" ht="18" customHeight="1" x14ac:dyDescent="0.25">
      <c r="A780" s="1455" t="s">
        <v>1101</v>
      </c>
      <c r="B780" s="573"/>
      <c r="C780" s="658">
        <v>34</v>
      </c>
      <c r="D780" s="455">
        <v>4662442</v>
      </c>
      <c r="E780" s="429"/>
      <c r="F780" s="537"/>
      <c r="G780" s="526"/>
      <c r="H780" s="719"/>
      <c r="I780" s="229"/>
      <c r="J780" s="429"/>
      <c r="K780" s="2443"/>
    </row>
    <row r="781" spans="1:11" ht="18" customHeight="1" x14ac:dyDescent="0.25">
      <c r="A781" s="494" t="s">
        <v>1594</v>
      </c>
      <c r="B781" s="335" t="s">
        <v>40</v>
      </c>
      <c r="C781" s="657">
        <v>1.36</v>
      </c>
      <c r="D781" s="456">
        <v>4667534</v>
      </c>
      <c r="E781" s="429"/>
      <c r="F781" s="537"/>
      <c r="G781" s="526"/>
      <c r="H781" s="719"/>
      <c r="I781" s="229"/>
      <c r="J781" s="429"/>
      <c r="K781" s="2443"/>
    </row>
    <row r="782" spans="1:11" ht="18" customHeight="1" x14ac:dyDescent="0.25">
      <c r="A782" s="494" t="s">
        <v>1790</v>
      </c>
      <c r="B782" s="587"/>
      <c r="C782" s="658"/>
      <c r="D782" s="455">
        <v>4670720</v>
      </c>
      <c r="E782" s="429"/>
      <c r="F782" s="537"/>
      <c r="G782" s="526"/>
      <c r="H782" s="719"/>
      <c r="I782" s="229"/>
      <c r="J782" s="429"/>
      <c r="K782" s="2443"/>
    </row>
    <row r="783" spans="1:11" ht="18" customHeight="1" x14ac:dyDescent="0.25">
      <c r="A783" s="2202" t="s">
        <v>1826</v>
      </c>
      <c r="B783" s="335" t="s">
        <v>40</v>
      </c>
      <c r="C783" s="658">
        <v>6.3710000000000004</v>
      </c>
      <c r="D783" s="438">
        <v>4671465</v>
      </c>
      <c r="E783" s="429"/>
      <c r="F783" s="537"/>
      <c r="G783" s="526"/>
      <c r="H783" s="719"/>
      <c r="I783" s="229"/>
      <c r="J783" s="429"/>
      <c r="K783" s="2443"/>
    </row>
    <row r="784" spans="1:11" ht="18" customHeight="1" x14ac:dyDescent="0.25">
      <c r="A784" s="2313" t="s">
        <v>2556</v>
      </c>
      <c r="B784" s="4742"/>
      <c r="C784" s="658">
        <v>7.26</v>
      </c>
      <c r="D784" s="438">
        <v>4680758</v>
      </c>
      <c r="E784" s="429"/>
      <c r="F784" s="537"/>
      <c r="G784" s="526"/>
      <c r="H784" s="719"/>
      <c r="I784" s="229"/>
      <c r="J784" s="429"/>
      <c r="K784" s="2443"/>
    </row>
    <row r="785" spans="1:11" ht="18" customHeight="1" x14ac:dyDescent="0.25">
      <c r="A785" s="495" t="s">
        <v>578</v>
      </c>
      <c r="B785" s="569" t="s">
        <v>40</v>
      </c>
      <c r="C785" s="658">
        <v>2.2799999999999998</v>
      </c>
      <c r="D785" s="438">
        <v>4683319</v>
      </c>
      <c r="E785" s="429"/>
      <c r="F785" s="537"/>
      <c r="G785" s="526"/>
      <c r="H785" s="719"/>
      <c r="I785" s="229"/>
      <c r="J785" s="429"/>
      <c r="K785" s="2443"/>
    </row>
    <row r="786" spans="1:11" ht="18" customHeight="1" x14ac:dyDescent="0.25">
      <c r="A786" s="1410" t="s">
        <v>2558</v>
      </c>
      <c r="B786" s="592"/>
      <c r="C786" s="658">
        <v>29.7</v>
      </c>
      <c r="D786" s="438">
        <v>4683796</v>
      </c>
      <c r="E786" s="429"/>
      <c r="F786" s="537"/>
      <c r="G786" s="526"/>
      <c r="H786" s="719"/>
      <c r="I786" s="229"/>
      <c r="J786" s="429"/>
      <c r="K786" s="2443"/>
    </row>
    <row r="787" spans="1:11" ht="18" customHeight="1" x14ac:dyDescent="0.25">
      <c r="A787" s="2049" t="s">
        <v>1793</v>
      </c>
      <c r="B787" s="578"/>
      <c r="C787" s="741">
        <v>8.0809999999999995</v>
      </c>
      <c r="D787" s="333">
        <v>4684346</v>
      </c>
      <c r="E787" s="429"/>
      <c r="F787" s="537"/>
      <c r="G787" s="526"/>
      <c r="H787" s="719"/>
      <c r="I787" s="229"/>
      <c r="J787" s="429"/>
      <c r="K787" s="2443"/>
    </row>
    <row r="788" spans="1:11" ht="18" customHeight="1" x14ac:dyDescent="0.25">
      <c r="A788" s="495" t="s">
        <v>2135</v>
      </c>
      <c r="B788" s="592" t="s">
        <v>40</v>
      </c>
      <c r="C788" s="1725">
        <v>19.5</v>
      </c>
      <c r="D788" s="457">
        <v>4685184</v>
      </c>
      <c r="E788" s="429"/>
      <c r="F788" s="537"/>
      <c r="G788" s="526"/>
      <c r="H788" s="719"/>
      <c r="I788" s="229"/>
      <c r="J788" s="429"/>
      <c r="K788" s="2443"/>
    </row>
    <row r="789" spans="1:11" ht="18" customHeight="1" x14ac:dyDescent="0.25">
      <c r="A789" s="1857" t="s">
        <v>487</v>
      </c>
      <c r="B789" s="566"/>
      <c r="C789" s="1517"/>
      <c r="D789" s="457">
        <v>4694087</v>
      </c>
      <c r="E789" s="429"/>
      <c r="F789" s="537"/>
      <c r="G789" s="526"/>
      <c r="H789" s="719"/>
      <c r="I789" s="229"/>
      <c r="J789" s="429"/>
      <c r="K789" s="2443"/>
    </row>
    <row r="790" spans="1:11" ht="18" customHeight="1" x14ac:dyDescent="0.25">
      <c r="A790" s="511" t="s">
        <v>2026</v>
      </c>
      <c r="B790" s="569"/>
      <c r="C790" s="1393">
        <v>2.2799999999999998</v>
      </c>
      <c r="D790" s="459">
        <v>4694307</v>
      </c>
      <c r="E790" s="429"/>
      <c r="F790" s="537"/>
      <c r="G790" s="526"/>
      <c r="H790" s="719"/>
      <c r="I790" s="229"/>
      <c r="J790" s="429"/>
      <c r="K790" s="2443"/>
    </row>
    <row r="791" spans="1:11" ht="18" customHeight="1" x14ac:dyDescent="0.25">
      <c r="A791" s="2992" t="s">
        <v>2134</v>
      </c>
      <c r="B791" s="641"/>
      <c r="C791" s="658">
        <v>6.3</v>
      </c>
      <c r="D791" s="333">
        <v>4695237</v>
      </c>
      <c r="E791" s="429"/>
      <c r="F791" s="537"/>
      <c r="G791" s="526"/>
      <c r="H791" s="719"/>
      <c r="I791" s="229"/>
      <c r="J791" s="429"/>
      <c r="K791" s="2443"/>
    </row>
    <row r="792" spans="1:11" ht="18" customHeight="1" x14ac:dyDescent="0.25">
      <c r="A792" s="493" t="s">
        <v>1758</v>
      </c>
      <c r="B792" s="607"/>
      <c r="C792" s="1472" t="s">
        <v>450</v>
      </c>
      <c r="D792" s="333">
        <v>4695795</v>
      </c>
      <c r="E792" s="429"/>
      <c r="F792" s="537"/>
      <c r="G792" s="526"/>
      <c r="H792" s="719"/>
      <c r="I792" s="229"/>
      <c r="J792" s="429"/>
      <c r="K792" s="2443"/>
    </row>
    <row r="793" spans="1:11" ht="18" customHeight="1" x14ac:dyDescent="0.25">
      <c r="A793" s="495" t="s">
        <v>1959</v>
      </c>
      <c r="B793" s="578"/>
      <c r="C793" s="1472"/>
      <c r="D793" s="333">
        <v>4696877</v>
      </c>
      <c r="E793" s="429"/>
      <c r="F793" s="537"/>
      <c r="G793" s="526"/>
      <c r="H793" s="719"/>
      <c r="I793" s="229"/>
      <c r="J793" s="429"/>
      <c r="K793" s="2443"/>
    </row>
    <row r="794" spans="1:11" ht="18" customHeight="1" x14ac:dyDescent="0.25">
      <c r="A794" s="498" t="s">
        <v>503</v>
      </c>
      <c r="B794" s="335"/>
      <c r="C794" s="658"/>
      <c r="D794" s="438">
        <v>4696877</v>
      </c>
      <c r="E794" s="429"/>
      <c r="F794" s="537"/>
      <c r="G794" s="526"/>
      <c r="H794" s="719"/>
      <c r="I794" s="229"/>
      <c r="J794" s="429"/>
      <c r="K794" s="2443"/>
    </row>
    <row r="795" spans="1:11" ht="18" customHeight="1" x14ac:dyDescent="0.25">
      <c r="A795" s="510" t="s">
        <v>1756</v>
      </c>
      <c r="B795" s="335" t="s">
        <v>40</v>
      </c>
      <c r="C795" s="658">
        <v>1.6</v>
      </c>
      <c r="D795" s="438">
        <v>4696940</v>
      </c>
      <c r="E795" s="429"/>
      <c r="F795" s="537"/>
      <c r="G795" s="526"/>
      <c r="H795" s="719"/>
      <c r="I795" s="229"/>
      <c r="J795" s="429"/>
      <c r="K795" s="2443"/>
    </row>
    <row r="796" spans="1:11" ht="18" customHeight="1" x14ac:dyDescent="0.25">
      <c r="A796" s="1390" t="s">
        <v>2625</v>
      </c>
      <c r="B796" s="335" t="s">
        <v>40</v>
      </c>
      <c r="C796" s="657">
        <v>1.33</v>
      </c>
      <c r="D796" s="457">
        <v>4696992</v>
      </c>
      <c r="E796" s="429"/>
      <c r="F796" s="537"/>
      <c r="G796" s="526"/>
      <c r="H796" s="719"/>
      <c r="I796" s="229"/>
      <c r="J796" s="429"/>
      <c r="K796" s="2443"/>
    </row>
    <row r="797" spans="1:11" ht="18" customHeight="1" x14ac:dyDescent="0.25">
      <c r="A797" s="523" t="s">
        <v>2624</v>
      </c>
      <c r="B797" s="335" t="s">
        <v>40</v>
      </c>
      <c r="C797" s="658">
        <v>1.1499999999999999</v>
      </c>
      <c r="D797" s="438">
        <v>4696998</v>
      </c>
      <c r="E797" s="429"/>
      <c r="F797" s="537"/>
      <c r="G797" s="526"/>
      <c r="H797" s="719"/>
      <c r="I797" s="229"/>
      <c r="J797" s="429"/>
      <c r="K797" s="2443"/>
    </row>
    <row r="798" spans="1:11" ht="18" customHeight="1" x14ac:dyDescent="0.25">
      <c r="A798" s="511" t="s">
        <v>1767</v>
      </c>
      <c r="B798" s="570"/>
      <c r="C798" s="659">
        <v>1</v>
      </c>
      <c r="D798" s="438">
        <v>4697029</v>
      </c>
      <c r="E798" s="429"/>
      <c r="F798" s="537"/>
      <c r="G798" s="526"/>
      <c r="H798" s="719"/>
      <c r="I798" s="229"/>
      <c r="J798" s="429"/>
      <c r="K798" s="2443"/>
    </row>
    <row r="799" spans="1:11" ht="18" customHeight="1" x14ac:dyDescent="0.25">
      <c r="A799" s="2492" t="s">
        <v>2626</v>
      </c>
      <c r="B799" s="1364"/>
      <c r="C799" s="658">
        <v>0.56499999999999995</v>
      </c>
      <c r="D799" s="457">
        <v>4697038</v>
      </c>
      <c r="E799" s="429"/>
      <c r="F799" s="537"/>
      <c r="G799" s="526"/>
      <c r="H799" s="719"/>
      <c r="I799" s="229"/>
      <c r="J799" s="429"/>
      <c r="K799" s="2443"/>
    </row>
    <row r="800" spans="1:11" ht="18" customHeight="1" x14ac:dyDescent="0.25">
      <c r="A800" s="524" t="s">
        <v>1102</v>
      </c>
      <c r="B800" s="1364" t="s">
        <v>40</v>
      </c>
      <c r="C800" s="658">
        <v>1</v>
      </c>
      <c r="D800" s="457">
        <v>4697163</v>
      </c>
      <c r="E800" s="429"/>
      <c r="F800" s="537"/>
      <c r="G800" s="526"/>
      <c r="H800" s="719"/>
      <c r="I800" s="229"/>
      <c r="J800" s="429"/>
      <c r="K800" s="2443"/>
    </row>
    <row r="801" spans="1:11" ht="18" customHeight="1" x14ac:dyDescent="0.25">
      <c r="A801" s="2313" t="s">
        <v>2152</v>
      </c>
      <c r="B801" s="601" t="s">
        <v>40</v>
      </c>
      <c r="C801" s="658">
        <v>1</v>
      </c>
      <c r="D801" s="438">
        <v>4697241</v>
      </c>
      <c r="E801" s="429"/>
      <c r="F801" s="537"/>
      <c r="G801" s="526"/>
      <c r="H801" s="719"/>
      <c r="I801" s="229"/>
      <c r="J801" s="429"/>
      <c r="K801" s="2443"/>
    </row>
    <row r="802" spans="1:11" ht="18" customHeight="1" x14ac:dyDescent="0.25">
      <c r="A802" s="495" t="s">
        <v>1711</v>
      </c>
      <c r="B802" s="335" t="s">
        <v>40</v>
      </c>
      <c r="C802" s="658">
        <v>0.70899999999999996</v>
      </c>
      <c r="D802" s="438">
        <v>4699009</v>
      </c>
      <c r="E802" s="429"/>
      <c r="F802" s="537"/>
      <c r="G802" s="526"/>
      <c r="H802" s="719"/>
      <c r="I802" s="229"/>
      <c r="J802" s="429"/>
      <c r="K802" s="2443"/>
    </row>
    <row r="803" spans="1:11" ht="18" customHeight="1" x14ac:dyDescent="0.25">
      <c r="A803" s="2313" t="s">
        <v>1100</v>
      </c>
      <c r="B803" s="592" t="s">
        <v>40</v>
      </c>
      <c r="C803" s="658">
        <v>1.3</v>
      </c>
      <c r="D803" s="438">
        <v>4704120</v>
      </c>
      <c r="E803" s="429"/>
      <c r="F803" s="537"/>
      <c r="G803" s="526"/>
      <c r="H803" s="719"/>
      <c r="I803" s="229"/>
      <c r="J803" s="429"/>
      <c r="K803" s="2443"/>
    </row>
    <row r="804" spans="1:11" ht="18" customHeight="1" x14ac:dyDescent="0.25">
      <c r="A804" s="1465" t="s">
        <v>1759</v>
      </c>
      <c r="B804" s="626"/>
      <c r="C804" s="658"/>
      <c r="D804" s="438">
        <v>4713012</v>
      </c>
      <c r="E804" s="429"/>
      <c r="F804" s="537"/>
      <c r="G804" s="526"/>
      <c r="H804" s="719"/>
      <c r="I804" s="229"/>
      <c r="J804" s="429"/>
      <c r="K804" s="2443"/>
    </row>
    <row r="805" spans="1:11" ht="18" customHeight="1" x14ac:dyDescent="0.25">
      <c r="A805" s="497" t="s">
        <v>1768</v>
      </c>
      <c r="B805" s="1471"/>
      <c r="C805" s="659"/>
      <c r="D805" s="438">
        <v>4811695</v>
      </c>
      <c r="E805" s="429"/>
      <c r="F805" s="537"/>
      <c r="G805" s="526"/>
      <c r="H805" s="719"/>
      <c r="I805" s="229"/>
      <c r="J805" s="429"/>
      <c r="K805" s="2443"/>
    </row>
    <row r="806" spans="1:11" ht="18" customHeight="1" x14ac:dyDescent="0.25">
      <c r="A806" s="500" t="s">
        <v>921</v>
      </c>
      <c r="B806" s="562"/>
      <c r="C806" s="658">
        <v>2.2719999999999998</v>
      </c>
      <c r="D806" s="239">
        <v>15118593</v>
      </c>
      <c r="E806" s="429"/>
      <c r="F806" s="537"/>
      <c r="G806" s="526"/>
      <c r="H806" s="719"/>
      <c r="I806" s="229"/>
      <c r="J806" s="429"/>
      <c r="K806" s="2443"/>
    </row>
    <row r="807" spans="1:11" ht="18" customHeight="1" x14ac:dyDescent="0.25">
      <c r="A807" s="1437" t="s">
        <v>1846</v>
      </c>
      <c r="B807" s="335" t="s">
        <v>40</v>
      </c>
      <c r="C807" s="658">
        <v>2.738</v>
      </c>
      <c r="D807" s="438">
        <v>15118608</v>
      </c>
      <c r="E807" s="429"/>
      <c r="F807" s="537"/>
      <c r="G807" s="526"/>
      <c r="H807" s="719"/>
      <c r="I807" s="229"/>
      <c r="J807" s="429"/>
      <c r="K807" s="2443"/>
    </row>
    <row r="808" spans="1:11" ht="18" customHeight="1" x14ac:dyDescent="0.25">
      <c r="A808" s="524" t="s">
        <v>1834</v>
      </c>
      <c r="B808" s="583" t="s">
        <v>40</v>
      </c>
      <c r="C808" s="658">
        <v>28.442</v>
      </c>
      <c r="D808" s="438">
        <v>15118608</v>
      </c>
      <c r="E808" s="429"/>
      <c r="F808" s="537"/>
      <c r="G808" s="526"/>
      <c r="H808" s="719"/>
      <c r="I808" s="229"/>
      <c r="J808" s="429"/>
      <c r="K808" s="2443"/>
    </row>
    <row r="809" spans="1:11" ht="18" customHeight="1" x14ac:dyDescent="0.25">
      <c r="A809" s="604"/>
      <c r="B809" s="448"/>
      <c r="C809" s="677"/>
      <c r="D809" s="229"/>
      <c r="E809" s="429"/>
      <c r="F809" s="537"/>
      <c r="G809" s="526"/>
      <c r="H809" s="719"/>
      <c r="I809" s="229"/>
      <c r="J809" s="429"/>
      <c r="K809" s="2443"/>
    </row>
    <row r="810" spans="1:11" ht="18" customHeight="1" x14ac:dyDescent="0.25">
      <c r="A810" s="140" t="s">
        <v>2744</v>
      </c>
      <c r="B810" s="140"/>
      <c r="C810" s="666"/>
      <c r="D810" s="452"/>
      <c r="E810" s="427"/>
      <c r="F810" s="481"/>
      <c r="G810" s="481"/>
      <c r="H810" s="716"/>
      <c r="I810" s="481"/>
      <c r="J810" s="429"/>
      <c r="K810" s="2443"/>
    </row>
    <row r="811" spans="1:11" ht="18" customHeight="1" x14ac:dyDescent="0.25">
      <c r="A811" s="140" t="s">
        <v>2745</v>
      </c>
      <c r="B811" s="140"/>
      <c r="C811" s="666"/>
      <c r="D811" s="452"/>
      <c r="E811" s="427"/>
      <c r="F811" s="478"/>
      <c r="G811" s="478"/>
      <c r="H811" s="711"/>
      <c r="I811" s="478"/>
      <c r="J811" s="429"/>
      <c r="K811" s="2443"/>
    </row>
    <row r="812" spans="1:11" ht="18" customHeight="1" x14ac:dyDescent="0.25">
      <c r="A812" s="142" t="s">
        <v>2746</v>
      </c>
      <c r="B812" s="142"/>
      <c r="C812" s="666"/>
      <c r="D812" s="452"/>
      <c r="E812" s="427"/>
      <c r="F812" s="478"/>
      <c r="G812" s="478"/>
      <c r="H812" s="711"/>
      <c r="I812" s="478"/>
      <c r="J812" s="430"/>
      <c r="K812" s="2443"/>
    </row>
    <row r="813" spans="1:11" ht="18" customHeight="1" x14ac:dyDescent="0.25">
      <c r="A813" s="535"/>
      <c r="B813" s="535"/>
      <c r="C813" s="656"/>
      <c r="D813" s="449"/>
      <c r="E813" s="427"/>
      <c r="F813" s="478"/>
      <c r="G813" s="478"/>
      <c r="H813" s="711"/>
      <c r="I813" s="478"/>
      <c r="J813" s="423"/>
      <c r="K813" s="2443"/>
    </row>
    <row r="814" spans="1:11" ht="24.75" customHeight="1" x14ac:dyDescent="0.25">
      <c r="A814" s="650" t="s">
        <v>1623</v>
      </c>
      <c r="B814" s="446"/>
      <c r="C814" s="2"/>
      <c r="D814" s="446"/>
      <c r="E814" s="429"/>
      <c r="F814" s="478"/>
      <c r="G814" s="478"/>
      <c r="H814" s="711"/>
      <c r="I814" s="478"/>
      <c r="J814" s="423"/>
      <c r="K814" s="2443"/>
    </row>
    <row r="815" spans="1:11" ht="18" customHeight="1" thickBot="1" x14ac:dyDescent="0.3">
      <c r="A815" s="447"/>
      <c r="B815" s="447"/>
      <c r="C815" s="424"/>
      <c r="D815" s="447"/>
      <c r="E815" s="431"/>
      <c r="F815" s="479"/>
      <c r="G815" s="479"/>
      <c r="H815" s="712"/>
      <c r="I815" s="479"/>
      <c r="J815" s="423"/>
      <c r="K815" s="2443"/>
    </row>
    <row r="816" spans="1:11" ht="23.1" customHeight="1" thickTop="1" x14ac:dyDescent="0.25">
      <c r="A816" s="448"/>
      <c r="B816" s="448"/>
      <c r="C816" s="426"/>
      <c r="D816" s="448"/>
      <c r="E816" s="432"/>
      <c r="F816" s="478"/>
      <c r="G816" s="478"/>
      <c r="H816" s="711"/>
      <c r="I816" s="478"/>
      <c r="J816" s="423"/>
      <c r="K816" s="2443"/>
    </row>
    <row r="817" spans="1:11" ht="4.5" customHeight="1" x14ac:dyDescent="0.25">
      <c r="A817" s="525"/>
      <c r="B817" s="449"/>
      <c r="C817" s="673"/>
      <c r="D817" s="177"/>
      <c r="E817" s="429"/>
      <c r="F817" s="538"/>
      <c r="G817" s="448"/>
      <c r="H817" s="426"/>
      <c r="I817" s="488"/>
      <c r="J817" s="423"/>
      <c r="K817" s="2443"/>
    </row>
    <row r="818" spans="1:11" ht="24" customHeight="1" x14ac:dyDescent="0.25">
      <c r="A818" s="1625" t="s">
        <v>593</v>
      </c>
      <c r="B818" s="603"/>
      <c r="C818" s="2430" t="s">
        <v>480</v>
      </c>
      <c r="D818" s="751" t="s">
        <v>592</v>
      </c>
      <c r="E818" s="429"/>
      <c r="F818" s="1625" t="s">
        <v>596</v>
      </c>
      <c r="G818" s="603"/>
      <c r="H818" s="2430" t="s">
        <v>480</v>
      </c>
      <c r="I818" s="751" t="s">
        <v>1624</v>
      </c>
      <c r="J818" s="423"/>
      <c r="K818" s="2443"/>
    </row>
    <row r="819" spans="1:11" ht="18" customHeight="1" x14ac:dyDescent="0.25">
      <c r="A819" s="4759" t="s">
        <v>2792</v>
      </c>
      <c r="B819" s="3099" t="s">
        <v>40</v>
      </c>
      <c r="C819" s="3059">
        <v>14.78</v>
      </c>
      <c r="D819" s="461">
        <v>215928</v>
      </c>
      <c r="E819" s="429"/>
      <c r="F819" s="3009" t="s">
        <v>2217</v>
      </c>
      <c r="G819" s="584"/>
      <c r="H819" s="674">
        <v>42.3</v>
      </c>
      <c r="I819" s="461">
        <v>5037623</v>
      </c>
      <c r="J819" s="429"/>
      <c r="K819" s="2443"/>
    </row>
    <row r="820" spans="1:11" ht="18" customHeight="1" x14ac:dyDescent="0.25">
      <c r="A820" s="1488" t="s">
        <v>2478</v>
      </c>
      <c r="B820" s="1687" t="s">
        <v>40</v>
      </c>
      <c r="C820" s="697">
        <v>11.6</v>
      </c>
      <c r="D820" s="439">
        <v>216155</v>
      </c>
      <c r="E820" s="429"/>
      <c r="F820" s="1726" t="s">
        <v>575</v>
      </c>
      <c r="G820" s="573"/>
      <c r="H820" s="1472">
        <v>10.6</v>
      </c>
      <c r="I820" s="457">
        <v>5246316</v>
      </c>
      <c r="J820" s="429"/>
      <c r="K820" s="2443"/>
    </row>
    <row r="821" spans="1:11" ht="18" customHeight="1" x14ac:dyDescent="0.25">
      <c r="A821" s="4632" t="s">
        <v>2502</v>
      </c>
      <c r="B821" s="563" t="s">
        <v>40</v>
      </c>
      <c r="C821" s="658">
        <v>10.26</v>
      </c>
      <c r="D821" s="3016">
        <v>216156</v>
      </c>
      <c r="E821" s="429"/>
      <c r="F821" s="2974" t="s">
        <v>2585</v>
      </c>
      <c r="G821" s="335"/>
      <c r="H821" s="2041">
        <v>7</v>
      </c>
      <c r="I821" s="3016">
        <v>5481394</v>
      </c>
      <c r="J821" s="429"/>
      <c r="K821" s="2443"/>
    </row>
    <row r="822" spans="1:11" ht="18" customHeight="1" x14ac:dyDescent="0.25">
      <c r="A822" s="4649" t="s">
        <v>2495</v>
      </c>
      <c r="B822" s="3196" t="s">
        <v>40</v>
      </c>
      <c r="C822" s="3191">
        <v>6.35</v>
      </c>
      <c r="D822" s="3195">
        <v>216382</v>
      </c>
      <c r="E822" s="429"/>
      <c r="F822" s="3203" t="s">
        <v>2792</v>
      </c>
      <c r="G822" s="4734" t="s">
        <v>40</v>
      </c>
      <c r="H822" s="2041">
        <v>957.4</v>
      </c>
      <c r="I822" s="3195">
        <v>5600387</v>
      </c>
      <c r="J822" s="429"/>
      <c r="K822" s="2443"/>
    </row>
    <row r="823" spans="1:11" ht="18" customHeight="1" x14ac:dyDescent="0.25">
      <c r="A823" s="2976" t="s">
        <v>2469</v>
      </c>
      <c r="B823" s="1721" t="s">
        <v>40</v>
      </c>
      <c r="C823" s="697">
        <v>8.32</v>
      </c>
      <c r="D823" s="1684">
        <v>217498</v>
      </c>
      <c r="E823" s="429"/>
      <c r="F823" s="1488" t="s">
        <v>2478</v>
      </c>
      <c r="G823" s="1721" t="s">
        <v>40</v>
      </c>
      <c r="H823" s="1522">
        <v>1161.49</v>
      </c>
      <c r="I823" s="1792">
        <v>5601997</v>
      </c>
      <c r="J823" s="429"/>
      <c r="K823" s="2443"/>
    </row>
    <row r="824" spans="1:11" ht="18" customHeight="1" x14ac:dyDescent="0.25">
      <c r="A824" s="3032" t="s">
        <v>2479</v>
      </c>
      <c r="B824" s="1835" t="s">
        <v>40</v>
      </c>
      <c r="C824" s="657">
        <v>8.5299999999999994</v>
      </c>
      <c r="D824" s="3016">
        <v>234131</v>
      </c>
      <c r="E824" s="429"/>
      <c r="F824" s="4656" t="s">
        <v>2502</v>
      </c>
      <c r="G824" s="3289" t="s">
        <v>40</v>
      </c>
      <c r="H824" s="2051">
        <v>1034.77</v>
      </c>
      <c r="I824" s="3016">
        <v>5602058</v>
      </c>
      <c r="J824" s="429"/>
      <c r="K824" s="2443"/>
    </row>
    <row r="825" spans="1:11" ht="18" customHeight="1" x14ac:dyDescent="0.25">
      <c r="A825" s="1688" t="s">
        <v>2482</v>
      </c>
      <c r="B825" s="3015" t="s">
        <v>40</v>
      </c>
      <c r="C825" s="698">
        <v>4.91</v>
      </c>
      <c r="D825" s="3016">
        <v>235020</v>
      </c>
      <c r="E825" s="429"/>
      <c r="F825" s="2974" t="s">
        <v>2469</v>
      </c>
      <c r="G825" s="3097" t="s">
        <v>40</v>
      </c>
      <c r="H825" s="2041">
        <v>904.92</v>
      </c>
      <c r="I825" s="3016">
        <v>5612406</v>
      </c>
      <c r="J825" s="429"/>
      <c r="K825" s="2443"/>
    </row>
    <row r="826" spans="1:11" ht="18" customHeight="1" x14ac:dyDescent="0.25">
      <c r="A826" s="1688" t="s">
        <v>2483</v>
      </c>
      <c r="B826" s="3015" t="s">
        <v>40</v>
      </c>
      <c r="C826" s="698">
        <v>4.45</v>
      </c>
      <c r="D826" s="3019">
        <v>235030</v>
      </c>
      <c r="E826" s="429"/>
      <c r="F826" s="4632" t="s">
        <v>2495</v>
      </c>
      <c r="G826" s="3015" t="s">
        <v>40</v>
      </c>
      <c r="H826" s="2041">
        <v>106.71</v>
      </c>
      <c r="I826" s="3016">
        <v>5643122</v>
      </c>
      <c r="J826" s="429"/>
      <c r="K826" s="2443"/>
    </row>
    <row r="827" spans="1:11" ht="18" customHeight="1" x14ac:dyDescent="0.25">
      <c r="A827" s="4761" t="s">
        <v>1835</v>
      </c>
      <c r="B827" s="2043"/>
      <c r="C827" s="658">
        <f>0.697+1</f>
        <v>1.6970000000000001</v>
      </c>
      <c r="D827" s="1792">
        <v>279784</v>
      </c>
      <c r="E827" s="429"/>
      <c r="F827" s="2437" t="s">
        <v>2480</v>
      </c>
      <c r="G827" s="2043" t="s">
        <v>40</v>
      </c>
      <c r="H827" s="2792">
        <v>602.79999999999995</v>
      </c>
      <c r="I827" s="1792">
        <v>5683982</v>
      </c>
      <c r="J827" s="429"/>
      <c r="K827" s="2443"/>
    </row>
    <row r="828" spans="1:11" ht="18" customHeight="1" x14ac:dyDescent="0.25">
      <c r="A828" s="2954" t="s">
        <v>2190</v>
      </c>
      <c r="B828" s="2403" t="s">
        <v>40</v>
      </c>
      <c r="C828" s="658">
        <v>1.86</v>
      </c>
      <c r="D828" s="1792">
        <v>280640</v>
      </c>
      <c r="E828" s="429"/>
      <c r="F828" s="2796" t="s">
        <v>2479</v>
      </c>
      <c r="G828" s="2403" t="s">
        <v>40</v>
      </c>
      <c r="H828" s="3077">
        <v>718.32</v>
      </c>
      <c r="I828" s="1792">
        <v>5684331</v>
      </c>
      <c r="J828" s="429"/>
      <c r="K828" s="2443"/>
    </row>
    <row r="829" spans="1:11" ht="18" customHeight="1" x14ac:dyDescent="0.25">
      <c r="A829" s="3286" t="s">
        <v>921</v>
      </c>
      <c r="B829" s="4762"/>
      <c r="C829" s="659">
        <v>0.69699999999999995</v>
      </c>
      <c r="D829" s="457">
        <v>295263</v>
      </c>
      <c r="E829" s="427"/>
      <c r="F829" s="493" t="s">
        <v>2002</v>
      </c>
      <c r="G829" s="335" t="s">
        <v>40</v>
      </c>
      <c r="H829" s="658">
        <v>98.8</v>
      </c>
      <c r="I829" s="457">
        <v>5721443</v>
      </c>
      <c r="J829" s="429"/>
      <c r="K829" s="2443"/>
    </row>
    <row r="830" spans="1:11" ht="18" customHeight="1" x14ac:dyDescent="0.25">
      <c r="A830" s="1390" t="s">
        <v>2480</v>
      </c>
      <c r="B830" s="2043" t="s">
        <v>40</v>
      </c>
      <c r="C830" s="658">
        <v>51.5</v>
      </c>
      <c r="D830" s="1792">
        <v>331670</v>
      </c>
      <c r="E830" s="427"/>
      <c r="F830" s="2444" t="s">
        <v>1847</v>
      </c>
      <c r="G830" s="2043" t="s">
        <v>40</v>
      </c>
      <c r="H830" s="2051">
        <f>2.715+1</f>
        <v>3.7149999999999999</v>
      </c>
      <c r="I830" s="1792">
        <v>5784860</v>
      </c>
      <c r="J830" s="429"/>
      <c r="K830" s="2443"/>
    </row>
    <row r="831" spans="1:11" ht="18" customHeight="1" x14ac:dyDescent="0.25">
      <c r="A831" s="2975" t="s">
        <v>2621</v>
      </c>
      <c r="B831" s="2043"/>
      <c r="C831" s="658">
        <v>191</v>
      </c>
      <c r="D831" s="1792">
        <v>332455</v>
      </c>
      <c r="E831" s="427"/>
      <c r="F831" s="2975" t="s">
        <v>2482</v>
      </c>
      <c r="G831" s="2043" t="s">
        <v>40</v>
      </c>
      <c r="H831" s="2041">
        <v>817.9</v>
      </c>
      <c r="I831" s="1792">
        <v>5793541</v>
      </c>
      <c r="J831" s="429"/>
      <c r="K831" s="2443"/>
    </row>
    <row r="832" spans="1:11" ht="18" customHeight="1" x14ac:dyDescent="0.25">
      <c r="A832" s="1688" t="s">
        <v>2002</v>
      </c>
      <c r="B832" s="335" t="s">
        <v>40</v>
      </c>
      <c r="C832" s="659">
        <v>6.84</v>
      </c>
      <c r="D832" s="457">
        <v>334916</v>
      </c>
      <c r="E832" s="427"/>
      <c r="F832" s="2444" t="s">
        <v>1836</v>
      </c>
      <c r="G832" s="335" t="s">
        <v>40</v>
      </c>
      <c r="H832" s="1472">
        <f>291.367+1</f>
        <v>292.36700000000002</v>
      </c>
      <c r="I832" s="457">
        <v>5805696</v>
      </c>
      <c r="J832" s="429"/>
      <c r="K832" s="2443"/>
    </row>
    <row r="833" spans="1:11" ht="18" customHeight="1" x14ac:dyDescent="0.25">
      <c r="A833" s="1688" t="s">
        <v>748</v>
      </c>
      <c r="B833" s="335" t="s">
        <v>40</v>
      </c>
      <c r="C833" s="657">
        <v>6.63</v>
      </c>
      <c r="D833" s="457">
        <v>335636</v>
      </c>
      <c r="E833" s="427"/>
      <c r="F833" s="2444" t="s">
        <v>1835</v>
      </c>
      <c r="G833" s="335"/>
      <c r="H833" s="1472">
        <f>1.626+1</f>
        <v>2.6259999999999999</v>
      </c>
      <c r="I833" s="457">
        <v>5820516</v>
      </c>
      <c r="J833" s="429"/>
      <c r="K833" s="2443"/>
    </row>
    <row r="834" spans="1:11" ht="18" customHeight="1" x14ac:dyDescent="0.25">
      <c r="A834" s="2323" t="s">
        <v>2623</v>
      </c>
      <c r="B834" s="1803"/>
      <c r="C834" s="659">
        <v>8.8000000000000007</v>
      </c>
      <c r="D834" s="1792">
        <v>337756</v>
      </c>
      <c r="E834" s="427"/>
      <c r="F834" s="2975" t="s">
        <v>2621</v>
      </c>
      <c r="G834" s="1803"/>
      <c r="H834" s="2041">
        <v>1804.9</v>
      </c>
      <c r="I834" s="1792">
        <v>5875981</v>
      </c>
      <c r="J834" s="429"/>
      <c r="K834" s="2443"/>
    </row>
    <row r="835" spans="1:11" ht="18" customHeight="1" x14ac:dyDescent="0.25">
      <c r="A835" s="493" t="s">
        <v>1101</v>
      </c>
      <c r="B835" s="1386"/>
      <c r="C835" s="659">
        <v>1.48</v>
      </c>
      <c r="D835" s="457">
        <v>339041</v>
      </c>
      <c r="E835" s="427"/>
      <c r="F835" s="3290" t="s">
        <v>2623</v>
      </c>
      <c r="G835" s="3188"/>
      <c r="H835" s="1472">
        <v>91.4</v>
      </c>
      <c r="I835" s="457">
        <v>5891962</v>
      </c>
      <c r="J835" s="429"/>
      <c r="K835" s="2443"/>
    </row>
    <row r="836" spans="1:11" ht="18" customHeight="1" x14ac:dyDescent="0.25">
      <c r="A836" s="1688" t="s">
        <v>1792</v>
      </c>
      <c r="B836" s="570"/>
      <c r="C836" s="658">
        <v>1.64</v>
      </c>
      <c r="D836" s="1754">
        <v>344618</v>
      </c>
      <c r="E836" s="427"/>
      <c r="F836" s="1688" t="s">
        <v>2483</v>
      </c>
      <c r="G836" s="335" t="s">
        <v>40</v>
      </c>
      <c r="H836" s="1522">
        <v>592.45000000000005</v>
      </c>
      <c r="I836" s="1754">
        <v>5902480</v>
      </c>
      <c r="J836" s="429"/>
      <c r="K836" s="2443"/>
    </row>
    <row r="837" spans="1:11" ht="18" customHeight="1" x14ac:dyDescent="0.25">
      <c r="A837" s="1387" t="s">
        <v>1833</v>
      </c>
      <c r="B837" s="335" t="s">
        <v>40</v>
      </c>
      <c r="C837" s="658">
        <v>2.718</v>
      </c>
      <c r="D837" s="457">
        <v>346466</v>
      </c>
      <c r="E837" s="429"/>
      <c r="F837" s="1488" t="s">
        <v>1792</v>
      </c>
      <c r="G837" s="586"/>
      <c r="H837" s="1522">
        <v>11.05</v>
      </c>
      <c r="I837" s="333">
        <v>5904502</v>
      </c>
      <c r="J837" s="429"/>
      <c r="K837" s="2443"/>
    </row>
    <row r="838" spans="1:11" ht="18" customHeight="1" x14ac:dyDescent="0.25">
      <c r="A838" s="495" t="s">
        <v>575</v>
      </c>
      <c r="B838" s="573"/>
      <c r="C838" s="3324">
        <v>0.79700000000000004</v>
      </c>
      <c r="D838" s="455">
        <v>346970</v>
      </c>
      <c r="E838" s="429"/>
      <c r="F838" s="494" t="s">
        <v>748</v>
      </c>
      <c r="G838" s="335" t="s">
        <v>40</v>
      </c>
      <c r="H838" s="675">
        <v>80.36</v>
      </c>
      <c r="I838" s="455">
        <v>5904779</v>
      </c>
      <c r="J838" s="429"/>
      <c r="K838" s="2443"/>
    </row>
    <row r="839" spans="1:11" ht="18" customHeight="1" x14ac:dyDescent="0.25">
      <c r="A839" s="2993" t="s">
        <v>2217</v>
      </c>
      <c r="B839" s="335"/>
      <c r="C839" s="3325">
        <v>1.2</v>
      </c>
      <c r="D839" s="455">
        <v>347116</v>
      </c>
      <c r="E839" s="429"/>
      <c r="F839" s="2496" t="s">
        <v>2556</v>
      </c>
      <c r="G839" s="335"/>
      <c r="H839" s="675">
        <v>10.130000000000001</v>
      </c>
      <c r="I839" s="455">
        <v>5908182</v>
      </c>
      <c r="J839" s="429"/>
      <c r="K839" s="2443"/>
    </row>
    <row r="840" spans="1:11" ht="18" customHeight="1" x14ac:dyDescent="0.25">
      <c r="A840" s="494" t="s">
        <v>2135</v>
      </c>
      <c r="B840" s="571" t="s">
        <v>40</v>
      </c>
      <c r="C840" s="675">
        <v>2.4</v>
      </c>
      <c r="D840" s="455">
        <v>347310</v>
      </c>
      <c r="E840" s="429"/>
      <c r="F840" s="1465" t="s">
        <v>1833</v>
      </c>
      <c r="G840" s="585" t="s">
        <v>40</v>
      </c>
      <c r="H840" s="1689">
        <v>23.344999999999999</v>
      </c>
      <c r="I840" s="455">
        <v>5911671</v>
      </c>
      <c r="J840" s="429"/>
      <c r="K840" s="2443"/>
    </row>
    <row r="841" spans="1:11" ht="18" customHeight="1" x14ac:dyDescent="0.25">
      <c r="A841" s="2986" t="s">
        <v>2585</v>
      </c>
      <c r="B841" s="335"/>
      <c r="C841" s="2198">
        <v>1</v>
      </c>
      <c r="D841" s="442">
        <v>347749</v>
      </c>
      <c r="E841" s="429"/>
      <c r="F841" s="493" t="s">
        <v>1758</v>
      </c>
      <c r="G841" s="607"/>
      <c r="H841" s="675">
        <v>16.600000000000001</v>
      </c>
      <c r="I841" s="455">
        <v>5912312</v>
      </c>
      <c r="J841" s="429"/>
      <c r="K841" s="2443"/>
    </row>
    <row r="842" spans="1:11" ht="18" customHeight="1" x14ac:dyDescent="0.25">
      <c r="A842" s="2956" t="s">
        <v>2558</v>
      </c>
      <c r="B842" s="1384"/>
      <c r="C842" s="659">
        <v>3.9</v>
      </c>
      <c r="D842" s="457">
        <v>349075</v>
      </c>
      <c r="E842" s="429"/>
      <c r="F842" s="495" t="s">
        <v>2135</v>
      </c>
      <c r="G842" s="335" t="s">
        <v>40</v>
      </c>
      <c r="H842" s="658">
        <v>24.1</v>
      </c>
      <c r="I842" s="438">
        <v>5913251</v>
      </c>
      <c r="J842" s="429"/>
      <c r="K842" s="2443"/>
    </row>
    <row r="843" spans="1:11" ht="18" customHeight="1" x14ac:dyDescent="0.25">
      <c r="A843" s="1755" t="s">
        <v>1826</v>
      </c>
      <c r="B843" s="1384" t="s">
        <v>40</v>
      </c>
      <c r="C843" s="657">
        <v>1.4119999999999999</v>
      </c>
      <c r="D843" s="457">
        <v>350625</v>
      </c>
      <c r="E843" s="429"/>
      <c r="F843" s="2977" t="s">
        <v>2134</v>
      </c>
      <c r="G843" s="1384"/>
      <c r="H843" s="657">
        <v>9.5</v>
      </c>
      <c r="I843" s="457">
        <v>5914265</v>
      </c>
      <c r="J843" s="429"/>
      <c r="K843" s="2443"/>
    </row>
    <row r="844" spans="1:11" ht="18" customHeight="1" x14ac:dyDescent="0.25">
      <c r="A844" s="1465" t="s">
        <v>1758</v>
      </c>
      <c r="B844" s="2046"/>
      <c r="C844" s="658">
        <v>1</v>
      </c>
      <c r="D844" s="457">
        <v>350781</v>
      </c>
      <c r="E844" s="429"/>
      <c r="F844" s="511" t="s">
        <v>2026</v>
      </c>
      <c r="G844" s="1384"/>
      <c r="H844" s="658">
        <v>19.3</v>
      </c>
      <c r="I844" s="457">
        <v>5915075</v>
      </c>
      <c r="J844" s="429"/>
      <c r="K844" s="2443"/>
    </row>
    <row r="845" spans="1:11" ht="18" customHeight="1" x14ac:dyDescent="0.25">
      <c r="A845" s="497" t="s">
        <v>2026</v>
      </c>
      <c r="B845" s="1364"/>
      <c r="C845" s="658">
        <v>1.7</v>
      </c>
      <c r="D845" s="457">
        <v>351755</v>
      </c>
      <c r="E845" s="429"/>
      <c r="F845" s="1690" t="s">
        <v>1793</v>
      </c>
      <c r="G845" s="1394"/>
      <c r="H845" s="658">
        <v>9.0489999999999995</v>
      </c>
      <c r="I845" s="457">
        <v>5916831</v>
      </c>
      <c r="J845" s="429"/>
      <c r="K845" s="2443"/>
    </row>
    <row r="846" spans="1:11" ht="18" customHeight="1" x14ac:dyDescent="0.25">
      <c r="A846" s="511" t="s">
        <v>1767</v>
      </c>
      <c r="B846" s="597"/>
      <c r="C846" s="659">
        <v>1</v>
      </c>
      <c r="D846" s="455">
        <v>352952</v>
      </c>
      <c r="E846" s="429"/>
      <c r="F846" s="494" t="s">
        <v>1101</v>
      </c>
      <c r="G846" s="597"/>
      <c r="H846" s="659">
        <v>43</v>
      </c>
      <c r="I846" s="455">
        <v>5918178</v>
      </c>
      <c r="J846" s="429"/>
      <c r="K846" s="2443"/>
    </row>
    <row r="847" spans="1:11" ht="18" customHeight="1" x14ac:dyDescent="0.25">
      <c r="A847" s="498" t="s">
        <v>958</v>
      </c>
      <c r="B847" s="569"/>
      <c r="C847" s="657">
        <v>1</v>
      </c>
      <c r="D847" s="456">
        <v>352977</v>
      </c>
      <c r="E847" s="429"/>
      <c r="F847" s="2496" t="s">
        <v>2152</v>
      </c>
      <c r="G847" s="335" t="s">
        <v>40</v>
      </c>
      <c r="H847" s="657">
        <v>1</v>
      </c>
      <c r="I847" s="456">
        <v>5919142</v>
      </c>
      <c r="J847" s="429"/>
      <c r="K847" s="2443"/>
    </row>
    <row r="848" spans="1:11" ht="18" customHeight="1" x14ac:dyDescent="0.25">
      <c r="A848" s="2448" t="s">
        <v>1836</v>
      </c>
      <c r="B848" s="335" t="s">
        <v>40</v>
      </c>
      <c r="C848" s="658">
        <f>0.077+1</f>
        <v>1.077</v>
      </c>
      <c r="D848" s="438">
        <v>353830</v>
      </c>
      <c r="E848" s="429"/>
      <c r="F848" s="2313" t="s">
        <v>2624</v>
      </c>
      <c r="G848" s="335" t="s">
        <v>40</v>
      </c>
      <c r="H848" s="658">
        <v>1.6</v>
      </c>
      <c r="I848" s="438">
        <v>5920516</v>
      </c>
      <c r="J848" s="429"/>
      <c r="K848" s="2443"/>
    </row>
    <row r="849" spans="1:11" ht="18" customHeight="1" x14ac:dyDescent="0.25">
      <c r="A849" s="3323" t="s">
        <v>2152</v>
      </c>
      <c r="B849" s="335" t="s">
        <v>40</v>
      </c>
      <c r="C849" s="658">
        <v>1</v>
      </c>
      <c r="D849" s="438">
        <v>353843</v>
      </c>
      <c r="E849" s="429"/>
      <c r="F849" s="2956" t="s">
        <v>2558</v>
      </c>
      <c r="G849" s="335"/>
      <c r="H849" s="658">
        <v>42.2</v>
      </c>
      <c r="I849" s="438">
        <v>5921094</v>
      </c>
      <c r="J849" s="429"/>
      <c r="K849" s="2443"/>
    </row>
    <row r="850" spans="1:11" ht="18" customHeight="1" x14ac:dyDescent="0.25">
      <c r="A850" s="493" t="s">
        <v>1711</v>
      </c>
      <c r="B850" s="335" t="s">
        <v>40</v>
      </c>
      <c r="C850" s="658">
        <v>0.29699999999999999</v>
      </c>
      <c r="D850" s="438">
        <v>354850</v>
      </c>
      <c r="E850" s="429"/>
      <c r="F850" s="493" t="s">
        <v>1711</v>
      </c>
      <c r="G850" s="335" t="s">
        <v>40</v>
      </c>
      <c r="H850" s="658">
        <v>0.755</v>
      </c>
      <c r="I850" s="438">
        <v>5921921</v>
      </c>
      <c r="J850" s="429"/>
      <c r="K850" s="2443"/>
    </row>
    <row r="851" spans="1:11" ht="18" customHeight="1" x14ac:dyDescent="0.25">
      <c r="A851" s="2981" t="s">
        <v>2556</v>
      </c>
      <c r="B851" s="335"/>
      <c r="C851" s="658">
        <v>1.36</v>
      </c>
      <c r="D851" s="438">
        <v>354882</v>
      </c>
      <c r="E851" s="429"/>
      <c r="F851" s="1762" t="s">
        <v>1826</v>
      </c>
      <c r="G851" s="633" t="s">
        <v>40</v>
      </c>
      <c r="H851" s="658">
        <v>7.0090000000000003</v>
      </c>
      <c r="I851" s="438">
        <v>5923728</v>
      </c>
      <c r="J851" s="429"/>
      <c r="K851" s="2443"/>
    </row>
    <row r="852" spans="1:11" ht="18" customHeight="1" x14ac:dyDescent="0.25">
      <c r="A852" s="2978" t="s">
        <v>2134</v>
      </c>
      <c r="B852" s="641"/>
      <c r="C852" s="658">
        <v>1.2</v>
      </c>
      <c r="D852" s="438">
        <v>355651</v>
      </c>
      <c r="E852" s="429"/>
      <c r="F852" s="495" t="s">
        <v>1756</v>
      </c>
      <c r="G852" s="641" t="s">
        <v>40</v>
      </c>
      <c r="H852" s="659">
        <v>5.46</v>
      </c>
      <c r="I852" s="438">
        <v>5927554</v>
      </c>
      <c r="J852" s="429"/>
      <c r="K852" s="2443"/>
    </row>
    <row r="853" spans="1:11" ht="18" customHeight="1" x14ac:dyDescent="0.25">
      <c r="A853" s="497" t="s">
        <v>1756</v>
      </c>
      <c r="B853" s="601" t="s">
        <v>40</v>
      </c>
      <c r="C853" s="659">
        <v>0.78</v>
      </c>
      <c r="D853" s="438">
        <v>356864</v>
      </c>
      <c r="E853" s="429"/>
      <c r="F853" s="2313" t="s">
        <v>2641</v>
      </c>
      <c r="G853" s="579"/>
      <c r="H853" s="658">
        <v>0.68100000000000005</v>
      </c>
      <c r="I853" s="438">
        <v>5930110</v>
      </c>
      <c r="J853" s="429"/>
      <c r="K853" s="2443"/>
    </row>
    <row r="854" spans="1:11" ht="18" customHeight="1" x14ac:dyDescent="0.25">
      <c r="A854" s="539" t="s">
        <v>1793</v>
      </c>
      <c r="B854" s="563"/>
      <c r="C854" s="658">
        <v>0.45</v>
      </c>
      <c r="D854" s="438">
        <v>357242</v>
      </c>
      <c r="E854" s="429"/>
      <c r="F854" s="497" t="s">
        <v>1768</v>
      </c>
      <c r="G854" s="576"/>
      <c r="H854" s="659"/>
      <c r="I854" s="438">
        <v>5930916</v>
      </c>
      <c r="J854" s="429"/>
      <c r="K854" s="2443"/>
    </row>
    <row r="855" spans="1:11" ht="18" customHeight="1" x14ac:dyDescent="0.25">
      <c r="A855" s="2313" t="s">
        <v>2624</v>
      </c>
      <c r="B855" s="590" t="s">
        <v>40</v>
      </c>
      <c r="C855" s="658">
        <v>0.3</v>
      </c>
      <c r="D855" s="438">
        <v>358904</v>
      </c>
      <c r="E855" s="429"/>
      <c r="F855" s="497" t="s">
        <v>1759</v>
      </c>
      <c r="G855" s="576"/>
      <c r="H855" s="659"/>
      <c r="I855" s="438">
        <v>5934524</v>
      </c>
      <c r="J855" s="429"/>
      <c r="K855" s="2443"/>
    </row>
    <row r="856" spans="1:11" ht="18" customHeight="1" x14ac:dyDescent="0.25">
      <c r="A856" s="497" t="s">
        <v>2625</v>
      </c>
      <c r="B856" s="590" t="s">
        <v>40</v>
      </c>
      <c r="C856" s="659">
        <v>0.42</v>
      </c>
      <c r="D856" s="443">
        <v>361325</v>
      </c>
      <c r="E856" s="429"/>
      <c r="F856" s="493" t="s">
        <v>1790</v>
      </c>
      <c r="G856" s="2087"/>
      <c r="H856" s="658"/>
      <c r="I856" s="239">
        <v>5942496</v>
      </c>
      <c r="J856" s="429"/>
      <c r="K856" s="2443"/>
    </row>
    <row r="857" spans="1:11" ht="18" customHeight="1" x14ac:dyDescent="0.25">
      <c r="A857" s="1644" t="s">
        <v>1102</v>
      </c>
      <c r="B857" s="335" t="s">
        <v>40</v>
      </c>
      <c r="C857" s="658">
        <v>1</v>
      </c>
      <c r="D857" s="457">
        <v>361907</v>
      </c>
      <c r="E857" s="429"/>
      <c r="F857" s="511" t="s">
        <v>578</v>
      </c>
      <c r="G857" s="335" t="s">
        <v>40</v>
      </c>
      <c r="H857" s="659">
        <v>2.359</v>
      </c>
      <c r="I857" s="457">
        <v>5947052</v>
      </c>
      <c r="J857" s="429"/>
      <c r="K857" s="2443"/>
    </row>
    <row r="858" spans="1:11" ht="18" customHeight="1" x14ac:dyDescent="0.25">
      <c r="A858" s="493" t="s">
        <v>1594</v>
      </c>
      <c r="B858" s="579" t="s">
        <v>40</v>
      </c>
      <c r="C858" s="658">
        <v>0.45300000000000001</v>
      </c>
      <c r="D858" s="438">
        <v>361918</v>
      </c>
      <c r="E858" s="429"/>
      <c r="F858" s="1457" t="s">
        <v>1102</v>
      </c>
      <c r="G858" s="335" t="s">
        <v>40</v>
      </c>
      <c r="H858" s="658">
        <v>1</v>
      </c>
      <c r="I858" s="438">
        <v>5953325</v>
      </c>
      <c r="J858" s="429"/>
      <c r="K858" s="2443"/>
    </row>
    <row r="859" spans="1:11" ht="18" customHeight="1" x14ac:dyDescent="0.25">
      <c r="A859" s="493" t="s">
        <v>1790</v>
      </c>
      <c r="B859" s="605"/>
      <c r="C859" s="668">
        <v>0.26900000000000002</v>
      </c>
      <c r="D859" s="457">
        <v>362832</v>
      </c>
      <c r="E859" s="429"/>
      <c r="F859" s="539" t="s">
        <v>958</v>
      </c>
      <c r="G859" s="579"/>
      <c r="H859" s="658">
        <v>1</v>
      </c>
      <c r="I859" s="333">
        <v>6029372</v>
      </c>
      <c r="J859" s="429"/>
      <c r="K859" s="2443"/>
    </row>
    <row r="860" spans="1:11" ht="18" customHeight="1" x14ac:dyDescent="0.25">
      <c r="A860" s="497" t="s">
        <v>1768</v>
      </c>
      <c r="B860" s="593"/>
      <c r="C860" s="659">
        <v>1</v>
      </c>
      <c r="D860" s="455">
        <v>363405</v>
      </c>
      <c r="E860" s="427"/>
      <c r="F860" s="1390" t="s">
        <v>2625</v>
      </c>
      <c r="G860" s="335" t="s">
        <v>40</v>
      </c>
      <c r="H860" s="658">
        <v>3.18</v>
      </c>
      <c r="I860" s="455">
        <v>6037587</v>
      </c>
      <c r="J860" s="429"/>
      <c r="K860" s="2443"/>
    </row>
    <row r="861" spans="1:11" ht="18" customHeight="1" x14ac:dyDescent="0.25">
      <c r="A861" s="2498" t="s">
        <v>2626</v>
      </c>
      <c r="B861" s="2086"/>
      <c r="C861" s="659">
        <v>0.17799999999999999</v>
      </c>
      <c r="D861" s="439">
        <v>363799</v>
      </c>
      <c r="E861" s="429"/>
      <c r="F861" s="523" t="s">
        <v>1100</v>
      </c>
      <c r="G861" s="592" t="s">
        <v>40</v>
      </c>
      <c r="H861" s="658">
        <v>2.34</v>
      </c>
      <c r="I861" s="455">
        <v>6145668</v>
      </c>
      <c r="J861" s="429"/>
      <c r="K861" s="2443"/>
    </row>
    <row r="862" spans="1:11" ht="18" customHeight="1" x14ac:dyDescent="0.25">
      <c r="A862" s="511" t="s">
        <v>578</v>
      </c>
      <c r="B862" s="335" t="s">
        <v>40</v>
      </c>
      <c r="C862" s="660">
        <v>0.34399999999999997</v>
      </c>
      <c r="D862" s="457">
        <v>364910</v>
      </c>
      <c r="E862" s="427"/>
      <c r="F862" s="511" t="s">
        <v>1594</v>
      </c>
      <c r="G862" s="335" t="s">
        <v>40</v>
      </c>
      <c r="H862" s="657">
        <v>1.7</v>
      </c>
      <c r="I862" s="457">
        <v>6161658</v>
      </c>
      <c r="J862" s="427"/>
      <c r="K862" s="2443"/>
    </row>
    <row r="863" spans="1:11" ht="18" customHeight="1" x14ac:dyDescent="0.25">
      <c r="A863" s="1387" t="s">
        <v>1759</v>
      </c>
      <c r="B863" s="591"/>
      <c r="C863" s="659">
        <v>1</v>
      </c>
      <c r="D863" s="333">
        <v>365569</v>
      </c>
      <c r="E863" s="429"/>
      <c r="F863" s="2975" t="s">
        <v>2190</v>
      </c>
      <c r="G863" s="641" t="s">
        <v>40</v>
      </c>
      <c r="H863" s="659">
        <v>7.25</v>
      </c>
      <c r="I863" s="333">
        <v>6282033</v>
      </c>
      <c r="J863" s="429"/>
      <c r="K863" s="2443"/>
    </row>
    <row r="864" spans="1:11" ht="18" customHeight="1" x14ac:dyDescent="0.25">
      <c r="A864" s="2975" t="s">
        <v>1100</v>
      </c>
      <c r="B864" s="335" t="s">
        <v>40</v>
      </c>
      <c r="C864" s="658">
        <v>7.8E-2</v>
      </c>
      <c r="D864" s="333">
        <v>368155</v>
      </c>
      <c r="E864" s="429"/>
      <c r="F864" s="493" t="s">
        <v>1959</v>
      </c>
      <c r="G864" s="597"/>
      <c r="H864" s="659">
        <v>1</v>
      </c>
      <c r="I864" s="333">
        <v>6291021</v>
      </c>
      <c r="J864" s="429"/>
      <c r="K864" s="2443"/>
    </row>
    <row r="865" spans="1:11" ht="18" customHeight="1" x14ac:dyDescent="0.25">
      <c r="A865" s="495" t="s">
        <v>1959</v>
      </c>
      <c r="B865" s="578"/>
      <c r="C865" s="659"/>
      <c r="D865" s="333">
        <v>372408</v>
      </c>
      <c r="E865" s="429"/>
      <c r="F865" s="555" t="s">
        <v>503</v>
      </c>
      <c r="G865" s="578"/>
      <c r="H865" s="659"/>
      <c r="I865" s="333">
        <v>6327408</v>
      </c>
      <c r="J865" s="429"/>
      <c r="K865" s="2443"/>
    </row>
    <row r="866" spans="1:11" ht="18" customHeight="1" x14ac:dyDescent="0.25">
      <c r="A866" s="554" t="s">
        <v>503</v>
      </c>
      <c r="B866" s="593"/>
      <c r="C866" s="659"/>
      <c r="D866" s="455">
        <v>577488</v>
      </c>
      <c r="E866" s="429"/>
      <c r="F866" s="1502" t="s">
        <v>1767</v>
      </c>
      <c r="G866" s="593"/>
      <c r="H866" s="659">
        <v>1</v>
      </c>
      <c r="I866" s="455">
        <v>6330295</v>
      </c>
      <c r="J866" s="429"/>
      <c r="K866" s="2443"/>
    </row>
    <row r="867" spans="1:11" ht="18" customHeight="1" x14ac:dyDescent="0.25">
      <c r="A867" s="1457" t="s">
        <v>1834</v>
      </c>
      <c r="B867" s="335" t="s">
        <v>40</v>
      </c>
      <c r="C867" s="658">
        <v>7.6999999999999999E-2</v>
      </c>
      <c r="D867" s="1499">
        <v>577516</v>
      </c>
      <c r="E867" s="429"/>
      <c r="F867" s="500" t="s">
        <v>921</v>
      </c>
      <c r="G867" s="573"/>
      <c r="H867" s="659">
        <v>1.6259999999999999</v>
      </c>
      <c r="I867" s="1499">
        <v>6865411</v>
      </c>
      <c r="J867" s="429"/>
      <c r="K867" s="2443"/>
    </row>
    <row r="868" spans="1:11" ht="18" customHeight="1" x14ac:dyDescent="0.25">
      <c r="A868" s="1778" t="s">
        <v>1846</v>
      </c>
      <c r="B868" s="335" t="s">
        <v>40</v>
      </c>
      <c r="C868" s="659"/>
      <c r="D868" s="1503" t="s">
        <v>446</v>
      </c>
      <c r="E868" s="429"/>
      <c r="F868" s="1778" t="s">
        <v>1834</v>
      </c>
      <c r="G868" s="335" t="s">
        <v>40</v>
      </c>
      <c r="H868" s="659">
        <v>291.36700000000002</v>
      </c>
      <c r="I868" s="1499">
        <v>6997557</v>
      </c>
      <c r="J868" s="423"/>
      <c r="K868" s="2443"/>
    </row>
    <row r="869" spans="1:11" ht="18" customHeight="1" x14ac:dyDescent="0.25">
      <c r="A869" s="2469" t="s">
        <v>1847</v>
      </c>
      <c r="B869" s="582" t="s">
        <v>40</v>
      </c>
      <c r="C869" s="659"/>
      <c r="D869" s="1464" t="s">
        <v>481</v>
      </c>
      <c r="E869" s="429"/>
      <c r="F869" s="2470" t="s">
        <v>1846</v>
      </c>
      <c r="G869" s="582" t="s">
        <v>40</v>
      </c>
      <c r="H869" s="659">
        <v>2.7149999999999999</v>
      </c>
      <c r="I869" s="492">
        <v>7344159</v>
      </c>
      <c r="J869" s="423"/>
      <c r="K869" s="2443"/>
    </row>
    <row r="870" spans="1:11" ht="18" customHeight="1" x14ac:dyDescent="0.25">
      <c r="A870" s="525"/>
      <c r="B870" s="575"/>
      <c r="C870" s="677"/>
      <c r="D870" s="177"/>
      <c r="E870" s="429"/>
      <c r="F870" s="525"/>
      <c r="G870" s="449"/>
      <c r="H870" s="669"/>
      <c r="I870" s="177"/>
      <c r="J870" s="423"/>
      <c r="K870" s="2443"/>
    </row>
    <row r="871" spans="1:11" ht="18" customHeight="1" x14ac:dyDescent="0.25">
      <c r="A871" s="140" t="s">
        <v>2744</v>
      </c>
      <c r="B871" s="140"/>
      <c r="C871" s="673"/>
      <c r="D871" s="177"/>
      <c r="E871" s="429"/>
      <c r="F871" s="481"/>
      <c r="G871" s="481"/>
      <c r="H871" s="716"/>
      <c r="I871" s="481"/>
      <c r="J871" s="429"/>
      <c r="K871" s="2443"/>
    </row>
    <row r="872" spans="1:11" ht="18" customHeight="1" x14ac:dyDescent="0.25">
      <c r="A872" s="140" t="s">
        <v>2745</v>
      </c>
      <c r="B872" s="140"/>
      <c r="C872" s="673"/>
      <c r="D872" s="177"/>
      <c r="E872" s="429"/>
      <c r="F872" s="478"/>
      <c r="G872" s="478"/>
      <c r="H872" s="711"/>
      <c r="I872" s="478"/>
      <c r="J872" s="429"/>
      <c r="K872" s="2443"/>
    </row>
    <row r="873" spans="1:11" ht="18" customHeight="1" x14ac:dyDescent="0.25">
      <c r="A873" s="142" t="s">
        <v>2746</v>
      </c>
      <c r="B873" s="142"/>
      <c r="C873" s="673"/>
      <c r="D873" s="177"/>
      <c r="E873" s="429"/>
      <c r="F873" s="478"/>
      <c r="G873" s="478"/>
      <c r="H873" s="711"/>
      <c r="I873" s="478"/>
      <c r="J873" s="430"/>
      <c r="K873" s="2443"/>
    </row>
    <row r="874" spans="1:11" ht="18" customHeight="1" x14ac:dyDescent="0.25">
      <c r="A874" s="449"/>
      <c r="B874" s="449"/>
      <c r="C874" s="673"/>
      <c r="D874" s="177"/>
      <c r="E874" s="429"/>
      <c r="F874" s="478"/>
      <c r="G874" s="478"/>
      <c r="H874" s="711"/>
      <c r="I874" s="478"/>
      <c r="J874" s="423"/>
      <c r="K874" s="2443"/>
    </row>
    <row r="875" spans="1:11" ht="24.75" customHeight="1" x14ac:dyDescent="0.25">
      <c r="A875" s="650" t="s">
        <v>1618</v>
      </c>
      <c r="B875" s="446"/>
      <c r="C875" s="2"/>
      <c r="D875" s="446"/>
      <c r="E875" s="429"/>
      <c r="F875" s="478"/>
      <c r="G875" s="478"/>
      <c r="H875" s="711"/>
      <c r="I875" s="478"/>
      <c r="J875" s="423"/>
      <c r="K875" s="2443"/>
    </row>
    <row r="876" spans="1:11" ht="18" customHeight="1" thickBot="1" x14ac:dyDescent="0.3">
      <c r="A876" s="447"/>
      <c r="B876" s="447"/>
      <c r="C876" s="424"/>
      <c r="D876" s="447"/>
      <c r="E876" s="431"/>
      <c r="F876" s="479"/>
      <c r="G876" s="479"/>
      <c r="H876" s="712"/>
      <c r="I876" s="479"/>
      <c r="J876" s="423"/>
      <c r="K876" s="2443"/>
    </row>
    <row r="877" spans="1:11" ht="23.1" customHeight="1" thickTop="1" x14ac:dyDescent="0.25">
      <c r="A877" s="448"/>
      <c r="B877" s="448"/>
      <c r="C877" s="426"/>
      <c r="D877" s="448"/>
      <c r="E877" s="432"/>
      <c r="F877" s="478"/>
      <c r="G877" s="478"/>
      <c r="H877" s="720"/>
      <c r="I877" s="486"/>
      <c r="J877" s="423"/>
      <c r="K877" s="2443"/>
    </row>
    <row r="878" spans="1:11" ht="4.5" customHeight="1" x14ac:dyDescent="0.25">
      <c r="A878" s="525"/>
      <c r="B878" s="449"/>
      <c r="C878" s="673"/>
      <c r="D878" s="177"/>
      <c r="E878" s="429"/>
      <c r="F878" s="525"/>
      <c r="G878" s="593"/>
      <c r="H878" s="721"/>
      <c r="I878" s="177"/>
      <c r="J878" s="423"/>
      <c r="K878" s="2443"/>
    </row>
    <row r="879" spans="1:11" ht="24" customHeight="1" x14ac:dyDescent="0.25">
      <c r="A879" s="495" t="s">
        <v>606</v>
      </c>
      <c r="B879" s="564"/>
      <c r="C879" s="2430" t="s">
        <v>480</v>
      </c>
      <c r="D879" s="428" t="s">
        <v>2500</v>
      </c>
      <c r="E879" s="427"/>
      <c r="F879" s="1623" t="s">
        <v>746</v>
      </c>
      <c r="G879" s="560"/>
      <c r="H879" s="2430" t="s">
        <v>480</v>
      </c>
      <c r="I879" s="428" t="s">
        <v>2136</v>
      </c>
      <c r="J879" s="423"/>
      <c r="K879" s="2443"/>
    </row>
    <row r="880" spans="1:11" ht="18" customHeight="1" x14ac:dyDescent="0.25">
      <c r="A880" s="4756" t="s">
        <v>2792</v>
      </c>
      <c r="B880" s="3099" t="s">
        <v>40</v>
      </c>
      <c r="C880" s="670">
        <v>14200.9</v>
      </c>
      <c r="D880" s="458">
        <v>43332201</v>
      </c>
      <c r="E880" s="427"/>
      <c r="F880" s="2986" t="s">
        <v>2469</v>
      </c>
      <c r="G880" s="4735" t="s">
        <v>40</v>
      </c>
      <c r="H880" s="724">
        <v>25173.31</v>
      </c>
      <c r="I880" s="458">
        <v>135269326</v>
      </c>
      <c r="J880" s="429"/>
      <c r="K880" s="2443"/>
    </row>
    <row r="881" spans="1:11" ht="18" customHeight="1" x14ac:dyDescent="0.25">
      <c r="A881" s="1488" t="s">
        <v>2478</v>
      </c>
      <c r="B881" s="1721" t="s">
        <v>40</v>
      </c>
      <c r="C881" s="658">
        <v>13214.82</v>
      </c>
      <c r="D881" s="1566">
        <v>43712214</v>
      </c>
      <c r="E881" s="429"/>
      <c r="F881" s="1488" t="s">
        <v>2482</v>
      </c>
      <c r="G881" s="1384" t="s">
        <v>40</v>
      </c>
      <c r="H881" s="697">
        <v>27310.01</v>
      </c>
      <c r="I881" s="1792">
        <v>135768289</v>
      </c>
      <c r="J881" s="427"/>
      <c r="K881" s="2443"/>
    </row>
    <row r="882" spans="1:11" ht="18" customHeight="1" x14ac:dyDescent="0.25">
      <c r="A882" s="523" t="s">
        <v>2469</v>
      </c>
      <c r="B882" s="563" t="s">
        <v>40</v>
      </c>
      <c r="C882" s="657">
        <v>12336.09</v>
      </c>
      <c r="D882" s="457">
        <v>43811537</v>
      </c>
      <c r="E882" s="427"/>
      <c r="F882" s="2855" t="s">
        <v>2483</v>
      </c>
      <c r="G882" s="563" t="s">
        <v>40</v>
      </c>
      <c r="H882" s="698">
        <v>21168.29</v>
      </c>
      <c r="I882" s="457">
        <v>162129948</v>
      </c>
      <c r="J882" s="427"/>
      <c r="K882" s="2443"/>
    </row>
    <row r="883" spans="1:11" ht="18" customHeight="1" x14ac:dyDescent="0.25">
      <c r="A883" s="3032" t="s">
        <v>2479</v>
      </c>
      <c r="B883" s="1835" t="s">
        <v>40</v>
      </c>
      <c r="C883" s="657">
        <v>8860.07</v>
      </c>
      <c r="D883" s="3016">
        <v>44026544</v>
      </c>
      <c r="E883" s="427"/>
      <c r="F883" s="3034" t="s">
        <v>2621</v>
      </c>
      <c r="G883" s="1835"/>
      <c r="H883" s="698">
        <v>91695.4</v>
      </c>
      <c r="I883" s="3016">
        <v>180333093</v>
      </c>
      <c r="J883" s="427"/>
      <c r="K883" s="2443"/>
    </row>
    <row r="884" spans="1:11" ht="18" customHeight="1" x14ac:dyDescent="0.25">
      <c r="A884" s="1688" t="s">
        <v>2480</v>
      </c>
      <c r="B884" s="3015" t="s">
        <v>40</v>
      </c>
      <c r="C884" s="657">
        <v>7388.2</v>
      </c>
      <c r="D884" s="3016">
        <v>44102148</v>
      </c>
      <c r="E884" s="427"/>
      <c r="F884" s="4748" t="s">
        <v>2792</v>
      </c>
      <c r="G884" s="3097" t="s">
        <v>40</v>
      </c>
      <c r="H884" s="657">
        <v>45746.7</v>
      </c>
      <c r="I884" s="3016">
        <v>182501690</v>
      </c>
      <c r="J884" s="427"/>
      <c r="K884" s="2443"/>
    </row>
    <row r="885" spans="1:11" ht="18" customHeight="1" x14ac:dyDescent="0.25">
      <c r="A885" s="4649" t="s">
        <v>2495</v>
      </c>
      <c r="B885" s="3194" t="s">
        <v>40</v>
      </c>
      <c r="C885" s="3191">
        <v>1307.8699999999999</v>
      </c>
      <c r="D885" s="3195">
        <v>45512142</v>
      </c>
      <c r="E885" s="427"/>
      <c r="F885" s="3286" t="s">
        <v>2478</v>
      </c>
      <c r="G885" s="4737" t="s">
        <v>40</v>
      </c>
      <c r="H885" s="3189">
        <v>40905.99</v>
      </c>
      <c r="I885" s="3195">
        <v>182906109</v>
      </c>
      <c r="J885" s="427"/>
      <c r="K885" s="2443"/>
    </row>
    <row r="886" spans="1:11" ht="18" customHeight="1" x14ac:dyDescent="0.25">
      <c r="A886" s="1688" t="s">
        <v>2002</v>
      </c>
      <c r="B886" s="3015" t="s">
        <v>40</v>
      </c>
      <c r="C886" s="657">
        <v>1184.56</v>
      </c>
      <c r="D886" s="3016">
        <v>45513548</v>
      </c>
      <c r="E886" s="427"/>
      <c r="F886" s="3286" t="s">
        <v>2479</v>
      </c>
      <c r="G886" s="3188" t="s">
        <v>40</v>
      </c>
      <c r="H886" s="698">
        <v>29972.79</v>
      </c>
      <c r="I886" s="3016">
        <v>183346042</v>
      </c>
      <c r="J886" s="427"/>
      <c r="K886" s="2443"/>
    </row>
    <row r="887" spans="1:11" ht="18" customHeight="1" x14ac:dyDescent="0.25">
      <c r="A887" s="4757" t="s">
        <v>2217</v>
      </c>
      <c r="B887" s="4758"/>
      <c r="C887" s="658">
        <v>380.7</v>
      </c>
      <c r="D887" s="1792">
        <v>46740562</v>
      </c>
      <c r="E887" s="427"/>
      <c r="F887" s="2990" t="s">
        <v>2556</v>
      </c>
      <c r="G887" s="2850"/>
      <c r="H887" s="697">
        <v>798.1</v>
      </c>
      <c r="I887" s="1792">
        <v>185188451</v>
      </c>
      <c r="J887" s="427"/>
      <c r="K887" s="2443"/>
    </row>
    <row r="888" spans="1:11" ht="18" customHeight="1" x14ac:dyDescent="0.25">
      <c r="A888" s="2796" t="s">
        <v>575</v>
      </c>
      <c r="B888" s="2403"/>
      <c r="C888" s="658">
        <v>122</v>
      </c>
      <c r="D888" s="1793">
        <v>48673735</v>
      </c>
      <c r="E888" s="427"/>
      <c r="F888" s="2796" t="s">
        <v>1792</v>
      </c>
      <c r="G888" s="3051"/>
      <c r="H888" s="658">
        <v>782.21</v>
      </c>
      <c r="I888" s="1792">
        <v>185678629</v>
      </c>
      <c r="J888" s="427"/>
      <c r="K888" s="2443"/>
    </row>
    <row r="889" spans="1:11" ht="18" customHeight="1" x14ac:dyDescent="0.25">
      <c r="A889" s="2444" t="s">
        <v>1847</v>
      </c>
      <c r="B889" s="2043" t="s">
        <v>40</v>
      </c>
      <c r="C889" s="658">
        <f>55.284+23</f>
        <v>78.283999999999992</v>
      </c>
      <c r="D889" s="1792">
        <v>48754313</v>
      </c>
      <c r="E889" s="427"/>
      <c r="F889" s="1688" t="s">
        <v>575</v>
      </c>
      <c r="G889" s="3076"/>
      <c r="H889" s="697">
        <v>639.26</v>
      </c>
      <c r="I889" s="1792">
        <v>186444625</v>
      </c>
      <c r="J889" s="427"/>
      <c r="K889" s="2443"/>
    </row>
    <row r="890" spans="1:11" ht="18" customHeight="1" x14ac:dyDescent="0.25">
      <c r="A890" s="2445" t="s">
        <v>1836</v>
      </c>
      <c r="B890" s="2043" t="s">
        <v>40</v>
      </c>
      <c r="C890" s="658">
        <f>53.475+21</f>
        <v>74.474999999999994</v>
      </c>
      <c r="D890" s="1792">
        <v>49101243</v>
      </c>
      <c r="E890" s="427"/>
      <c r="F890" s="2975" t="s">
        <v>2585</v>
      </c>
      <c r="G890" s="2043"/>
      <c r="H890" s="697">
        <v>220</v>
      </c>
      <c r="I890" s="1792">
        <v>186604218</v>
      </c>
      <c r="J890" s="427"/>
      <c r="K890" s="2443"/>
    </row>
    <row r="891" spans="1:11" ht="18" customHeight="1" x14ac:dyDescent="0.25">
      <c r="A891" s="493" t="s">
        <v>2482</v>
      </c>
      <c r="B891" s="577" t="s">
        <v>40</v>
      </c>
      <c r="C891" s="697">
        <v>10382.58</v>
      </c>
      <c r="D891" s="459">
        <v>50767318</v>
      </c>
      <c r="E891" s="427"/>
      <c r="F891" s="494" t="s">
        <v>2002</v>
      </c>
      <c r="G891" s="577" t="s">
        <v>40</v>
      </c>
      <c r="H891" s="658">
        <v>4762.8999999999996</v>
      </c>
      <c r="I891" s="438">
        <v>186891173</v>
      </c>
      <c r="J891" s="427"/>
      <c r="K891" s="2443"/>
    </row>
    <row r="892" spans="1:11" ht="18" customHeight="1" x14ac:dyDescent="0.25">
      <c r="A892" s="2487" t="s">
        <v>2621</v>
      </c>
      <c r="B892" s="335"/>
      <c r="C892" s="658">
        <v>16737.5</v>
      </c>
      <c r="D892" s="457">
        <v>54015870</v>
      </c>
      <c r="E892" s="427"/>
      <c r="F892" s="2983" t="s">
        <v>2217</v>
      </c>
      <c r="G892" s="335"/>
      <c r="H892" s="658">
        <v>741.2</v>
      </c>
      <c r="I892" s="457">
        <v>187081210</v>
      </c>
      <c r="J892" s="427"/>
      <c r="K892" s="2443"/>
    </row>
    <row r="893" spans="1:11" ht="18" customHeight="1" x14ac:dyDescent="0.25">
      <c r="A893" s="1688" t="s">
        <v>1792</v>
      </c>
      <c r="B893" s="632"/>
      <c r="C893" s="658">
        <v>101.53</v>
      </c>
      <c r="D893" s="457">
        <v>54171990</v>
      </c>
      <c r="E893" s="427"/>
      <c r="F893" s="4632" t="s">
        <v>2495</v>
      </c>
      <c r="G893" s="335" t="s">
        <v>40</v>
      </c>
      <c r="H893" s="697">
        <v>4531.42</v>
      </c>
      <c r="I893" s="457">
        <v>187356969</v>
      </c>
      <c r="J893" s="427"/>
      <c r="K893" s="2443"/>
    </row>
    <row r="894" spans="1:11" ht="18" customHeight="1" x14ac:dyDescent="0.25">
      <c r="A894" s="3286" t="s">
        <v>2483</v>
      </c>
      <c r="B894" s="3188" t="s">
        <v>40</v>
      </c>
      <c r="C894" s="658">
        <v>5401.78</v>
      </c>
      <c r="D894" s="1792">
        <v>54184187</v>
      </c>
      <c r="E894" s="427"/>
      <c r="F894" s="1390" t="s">
        <v>748</v>
      </c>
      <c r="G894" s="1803" t="s">
        <v>40</v>
      </c>
      <c r="H894" s="658">
        <v>3964.74</v>
      </c>
      <c r="I894" s="1792">
        <v>188880770</v>
      </c>
      <c r="J894" s="427"/>
      <c r="K894" s="2443"/>
    </row>
    <row r="895" spans="1:11" ht="18" customHeight="1" x14ac:dyDescent="0.25">
      <c r="A895" s="1688" t="s">
        <v>748</v>
      </c>
      <c r="B895" s="335" t="s">
        <v>40</v>
      </c>
      <c r="C895" s="658">
        <v>696.8</v>
      </c>
      <c r="D895" s="1753">
        <v>54195637</v>
      </c>
      <c r="E895" s="427"/>
      <c r="F895" s="2974" t="s">
        <v>2152</v>
      </c>
      <c r="G895" s="335" t="s">
        <v>40</v>
      </c>
      <c r="H895" s="658">
        <v>44</v>
      </c>
      <c r="I895" s="1754">
        <v>189880612</v>
      </c>
      <c r="J895" s="427"/>
      <c r="K895" s="2443"/>
    </row>
    <row r="896" spans="1:11" ht="18" customHeight="1" x14ac:dyDescent="0.25">
      <c r="A896" s="2966" t="s">
        <v>2623</v>
      </c>
      <c r="B896" s="1384"/>
      <c r="C896" s="658">
        <v>945.5</v>
      </c>
      <c r="D896" s="457">
        <v>54218523</v>
      </c>
      <c r="E896" s="427"/>
      <c r="F896" s="2468" t="s">
        <v>1835</v>
      </c>
      <c r="G896" s="1384"/>
      <c r="H896" s="658">
        <f>42.214+126</f>
        <v>168.214</v>
      </c>
      <c r="I896" s="457">
        <v>190440244</v>
      </c>
      <c r="J896" s="427"/>
      <c r="K896" s="2443"/>
    </row>
    <row r="897" spans="1:11" ht="18" customHeight="1" x14ac:dyDescent="0.25">
      <c r="A897" s="495" t="s">
        <v>1833</v>
      </c>
      <c r="B897" s="1384" t="s">
        <v>40</v>
      </c>
      <c r="C897" s="657">
        <v>84.313999999999993</v>
      </c>
      <c r="D897" s="464">
        <v>54262542</v>
      </c>
      <c r="E897" s="427"/>
      <c r="F897" s="2464" t="s">
        <v>1836</v>
      </c>
      <c r="G897" s="1384" t="s">
        <v>40</v>
      </c>
      <c r="H897" s="657">
        <f>1120.036+126</f>
        <v>1246.0360000000001</v>
      </c>
      <c r="I897" s="457">
        <v>190440675</v>
      </c>
      <c r="J897" s="427"/>
      <c r="K897" s="2443"/>
    </row>
    <row r="898" spans="1:11" ht="18" customHeight="1" x14ac:dyDescent="0.25">
      <c r="A898" s="2199" t="s">
        <v>1826</v>
      </c>
      <c r="B898" s="335" t="s">
        <v>40</v>
      </c>
      <c r="C898" s="658">
        <v>61.030999999999999</v>
      </c>
      <c r="D898" s="464">
        <v>54311349</v>
      </c>
      <c r="E898" s="427"/>
      <c r="F898" s="2455" t="s">
        <v>1847</v>
      </c>
      <c r="G898" s="335" t="s">
        <v>40</v>
      </c>
      <c r="H898" s="658">
        <f>35.313+125</f>
        <v>160.31299999999999</v>
      </c>
      <c r="I898" s="457">
        <v>190442749</v>
      </c>
      <c r="J898" s="427"/>
      <c r="K898" s="2443"/>
    </row>
    <row r="899" spans="1:11" ht="18" customHeight="1" x14ac:dyDescent="0.25">
      <c r="A899" s="2491" t="s">
        <v>2556</v>
      </c>
      <c r="B899" s="335"/>
      <c r="C899" s="658">
        <v>96.3</v>
      </c>
      <c r="D899" s="457">
        <v>54322778</v>
      </c>
      <c r="E899" s="427"/>
      <c r="F899" s="494" t="s">
        <v>1756</v>
      </c>
      <c r="G899" s="335" t="s">
        <v>40</v>
      </c>
      <c r="H899" s="659">
        <v>1466.14</v>
      </c>
      <c r="I899" s="464">
        <v>191493555</v>
      </c>
      <c r="J899" s="427"/>
      <c r="K899" s="2443"/>
    </row>
    <row r="900" spans="1:11" ht="18" customHeight="1" x14ac:dyDescent="0.25">
      <c r="A900" s="2996" t="s">
        <v>2585</v>
      </c>
      <c r="B900" s="582"/>
      <c r="C900" s="658">
        <v>30</v>
      </c>
      <c r="D900" s="333">
        <v>54338754</v>
      </c>
      <c r="E900" s="427"/>
      <c r="F900" s="3010" t="s">
        <v>2134</v>
      </c>
      <c r="G900" s="582"/>
      <c r="H900" s="697">
        <v>244.9</v>
      </c>
      <c r="I900" s="333">
        <v>191935059</v>
      </c>
      <c r="J900" s="427"/>
      <c r="K900" s="2443"/>
    </row>
    <row r="901" spans="1:11" ht="18" customHeight="1" x14ac:dyDescent="0.25">
      <c r="A901" s="1387" t="s">
        <v>1758</v>
      </c>
      <c r="B901" s="572"/>
      <c r="C901" s="658">
        <v>131.9</v>
      </c>
      <c r="D901" s="476">
        <v>54355972</v>
      </c>
      <c r="E901" s="427"/>
      <c r="F901" s="511" t="s">
        <v>2026</v>
      </c>
      <c r="G901" s="335"/>
      <c r="H901" s="658">
        <v>311.5</v>
      </c>
      <c r="I901" s="333">
        <v>192463786</v>
      </c>
      <c r="J901" s="427"/>
      <c r="K901" s="2443"/>
    </row>
    <row r="902" spans="1:11" ht="18" customHeight="1" x14ac:dyDescent="0.25">
      <c r="A902" s="1404" t="s">
        <v>1793</v>
      </c>
      <c r="B902" s="2052"/>
      <c r="C902" s="658">
        <v>33.840000000000003</v>
      </c>
      <c r="D902" s="333">
        <v>54356519</v>
      </c>
      <c r="E902" s="427"/>
      <c r="F902" s="1488" t="s">
        <v>1101</v>
      </c>
      <c r="G902" s="626"/>
      <c r="H902" s="658">
        <v>2054.29</v>
      </c>
      <c r="I902" s="476">
        <v>192742881</v>
      </c>
      <c r="J902" s="427"/>
      <c r="K902" s="2443"/>
    </row>
    <row r="903" spans="1:11" ht="18" customHeight="1" x14ac:dyDescent="0.25">
      <c r="A903" s="511" t="s">
        <v>2026</v>
      </c>
      <c r="B903" s="583"/>
      <c r="C903" s="658">
        <v>26.9</v>
      </c>
      <c r="D903" s="440">
        <v>54364613</v>
      </c>
      <c r="E903" s="427"/>
      <c r="F903" s="2045" t="s">
        <v>1826</v>
      </c>
      <c r="G903" s="335" t="s">
        <v>40</v>
      </c>
      <c r="H903" s="658">
        <v>251.441</v>
      </c>
      <c r="I903" s="457">
        <v>193278931</v>
      </c>
      <c r="J903" s="427"/>
      <c r="K903" s="2443"/>
    </row>
    <row r="904" spans="1:11" ht="18" customHeight="1" x14ac:dyDescent="0.25">
      <c r="A904" s="2992" t="s">
        <v>2134</v>
      </c>
      <c r="B904" s="335"/>
      <c r="C904" s="658">
        <v>39</v>
      </c>
      <c r="D904" s="457">
        <v>54374626</v>
      </c>
      <c r="E904" s="427"/>
      <c r="F904" s="533" t="s">
        <v>602</v>
      </c>
      <c r="G904" s="580"/>
      <c r="H904" s="697">
        <v>137</v>
      </c>
      <c r="I904" s="453">
        <v>193590203</v>
      </c>
      <c r="J904" s="427"/>
      <c r="K904" s="2443"/>
    </row>
    <row r="905" spans="1:11" ht="18" customHeight="1" x14ac:dyDescent="0.25">
      <c r="A905" s="493" t="s">
        <v>2135</v>
      </c>
      <c r="B905" s="335" t="s">
        <v>40</v>
      </c>
      <c r="C905" s="658">
        <v>124.1</v>
      </c>
      <c r="D905" s="438">
        <v>54379474</v>
      </c>
      <c r="E905" s="427"/>
      <c r="F905" s="495" t="s">
        <v>1711</v>
      </c>
      <c r="G905" s="335" t="s">
        <v>40</v>
      </c>
      <c r="H905" s="658">
        <v>66.972999999999999</v>
      </c>
      <c r="I905" s="455">
        <v>193859258</v>
      </c>
      <c r="J905" s="427"/>
      <c r="K905" s="2443"/>
    </row>
    <row r="906" spans="1:11" ht="18" customHeight="1" x14ac:dyDescent="0.25">
      <c r="A906" s="511" t="s">
        <v>1756</v>
      </c>
      <c r="B906" s="335" t="s">
        <v>40</v>
      </c>
      <c r="C906" s="659">
        <v>36.01</v>
      </c>
      <c r="D906" s="464">
        <v>54382722</v>
      </c>
      <c r="E906" s="427"/>
      <c r="F906" s="496" t="s">
        <v>1793</v>
      </c>
      <c r="G906" s="1489"/>
      <c r="H906" s="697">
        <v>201.59</v>
      </c>
      <c r="I906" s="457">
        <v>195336232</v>
      </c>
      <c r="J906" s="427"/>
      <c r="K906" s="2443"/>
    </row>
    <row r="907" spans="1:11" ht="18" customHeight="1" x14ac:dyDescent="0.25">
      <c r="A907" s="2464" t="s">
        <v>1835</v>
      </c>
      <c r="B907" s="335"/>
      <c r="C907" s="658">
        <f>16.736+10</f>
        <v>26.736000000000001</v>
      </c>
      <c r="D907" s="438">
        <v>54387872</v>
      </c>
      <c r="E907" s="427"/>
      <c r="F907" s="2981" t="s">
        <v>2641</v>
      </c>
      <c r="G907" s="573"/>
      <c r="H907" s="659">
        <v>48.21</v>
      </c>
      <c r="I907" s="464">
        <v>196223625</v>
      </c>
      <c r="J907" s="427"/>
      <c r="K907" s="2443"/>
    </row>
    <row r="908" spans="1:11" ht="18" customHeight="1" x14ac:dyDescent="0.25">
      <c r="A908" s="1374" t="s">
        <v>1101</v>
      </c>
      <c r="B908" s="1397"/>
      <c r="C908" s="659">
        <v>547.86</v>
      </c>
      <c r="D908" s="464">
        <v>54395868</v>
      </c>
      <c r="E908" s="427"/>
      <c r="F908" s="2491" t="s">
        <v>2624</v>
      </c>
      <c r="G908" s="1364" t="s">
        <v>40</v>
      </c>
      <c r="H908" s="658">
        <v>229.7</v>
      </c>
      <c r="I908" s="464">
        <v>196670567</v>
      </c>
      <c r="J908" s="427"/>
      <c r="K908" s="2443"/>
    </row>
    <row r="909" spans="1:11" ht="18" customHeight="1" x14ac:dyDescent="0.25">
      <c r="A909" s="523" t="s">
        <v>2152</v>
      </c>
      <c r="B909" s="1364" t="s">
        <v>40</v>
      </c>
      <c r="C909" s="658">
        <v>12</v>
      </c>
      <c r="D909" s="464">
        <v>54395896</v>
      </c>
      <c r="E909" s="427"/>
      <c r="F909" s="1410" t="s">
        <v>2623</v>
      </c>
      <c r="G909" s="335"/>
      <c r="H909" s="657">
        <v>5664.2</v>
      </c>
      <c r="I909" s="456">
        <v>197664468</v>
      </c>
      <c r="J909" s="427"/>
      <c r="K909" s="2443"/>
    </row>
    <row r="910" spans="1:11" ht="18" customHeight="1" x14ac:dyDescent="0.25">
      <c r="A910" s="2995" t="s">
        <v>2624</v>
      </c>
      <c r="B910" s="335" t="s">
        <v>40</v>
      </c>
      <c r="C910" s="657">
        <v>18.899999999999999</v>
      </c>
      <c r="D910" s="441">
        <v>54426940</v>
      </c>
      <c r="E910" s="427"/>
      <c r="F910" s="1778" t="s">
        <v>1102</v>
      </c>
      <c r="G910" s="335" t="s">
        <v>40</v>
      </c>
      <c r="H910" s="698">
        <v>33</v>
      </c>
      <c r="I910" s="462">
        <v>198591751</v>
      </c>
      <c r="J910" s="427"/>
      <c r="K910" s="2443"/>
    </row>
    <row r="911" spans="1:11" ht="18" customHeight="1" x14ac:dyDescent="0.25">
      <c r="A911" s="493" t="s">
        <v>1959</v>
      </c>
      <c r="B911" s="566"/>
      <c r="C911" s="657">
        <v>1</v>
      </c>
      <c r="D911" s="462">
        <v>54459371</v>
      </c>
      <c r="E911" s="427"/>
      <c r="F911" s="555" t="s">
        <v>958</v>
      </c>
      <c r="G911" s="587"/>
      <c r="H911" s="697">
        <v>361</v>
      </c>
      <c r="I911" s="455">
        <v>199835129</v>
      </c>
      <c r="J911" s="427"/>
      <c r="K911" s="2443"/>
    </row>
    <row r="912" spans="1:11" ht="18" customHeight="1" x14ac:dyDescent="0.25">
      <c r="A912" s="511" t="s">
        <v>1790</v>
      </c>
      <c r="B912" s="566"/>
      <c r="C912" s="658">
        <v>30.76</v>
      </c>
      <c r="D912" s="455">
        <v>54479920</v>
      </c>
      <c r="E912" s="427"/>
      <c r="F912" s="495" t="s">
        <v>1758</v>
      </c>
      <c r="G912" s="572"/>
      <c r="H912" s="658">
        <v>664.1</v>
      </c>
      <c r="I912" s="438">
        <v>200680371</v>
      </c>
      <c r="J912" s="427"/>
      <c r="K912" s="2443"/>
    </row>
    <row r="913" spans="1:11" ht="18" customHeight="1" x14ac:dyDescent="0.25">
      <c r="A913" s="494" t="s">
        <v>1711</v>
      </c>
      <c r="B913" s="335" t="s">
        <v>40</v>
      </c>
      <c r="C913" s="658">
        <v>4.2300000000000004</v>
      </c>
      <c r="D913" s="440">
        <v>54481184</v>
      </c>
      <c r="E913" s="427"/>
      <c r="F913" s="493" t="s">
        <v>1833</v>
      </c>
      <c r="G913" s="335" t="s">
        <v>40</v>
      </c>
      <c r="H913" s="658">
        <v>479.07900000000001</v>
      </c>
      <c r="I913" s="438">
        <v>201527025</v>
      </c>
      <c r="J913" s="427"/>
      <c r="K913" s="2443"/>
    </row>
    <row r="914" spans="1:11" ht="18" customHeight="1" x14ac:dyDescent="0.25">
      <c r="A914" s="495" t="s">
        <v>2625</v>
      </c>
      <c r="B914" s="335" t="s">
        <v>40</v>
      </c>
      <c r="C914" s="659">
        <v>12.6</v>
      </c>
      <c r="D914" s="440">
        <v>54484361</v>
      </c>
      <c r="E914" s="427"/>
      <c r="F914" s="1410" t="s">
        <v>2558</v>
      </c>
      <c r="G914" s="601"/>
      <c r="H914" s="658">
        <v>2364.4</v>
      </c>
      <c r="I914" s="438">
        <v>201801692</v>
      </c>
      <c r="J914" s="427"/>
      <c r="K914" s="2443"/>
    </row>
    <row r="915" spans="1:11" ht="18" customHeight="1" x14ac:dyDescent="0.25">
      <c r="A915" s="1390" t="s">
        <v>1594</v>
      </c>
      <c r="B915" s="335" t="s">
        <v>40</v>
      </c>
      <c r="C915" s="658">
        <v>18.5</v>
      </c>
      <c r="D915" s="438">
        <v>54502064</v>
      </c>
      <c r="E915" s="427"/>
      <c r="F915" s="499" t="s">
        <v>1767</v>
      </c>
      <c r="G915" s="643"/>
      <c r="H915" s="697">
        <v>118</v>
      </c>
      <c r="I915" s="440">
        <v>203155703</v>
      </c>
      <c r="J915" s="427"/>
      <c r="K915" s="2443"/>
    </row>
    <row r="916" spans="1:11" ht="18" customHeight="1" x14ac:dyDescent="0.25">
      <c r="A916" s="3007" t="s">
        <v>2626</v>
      </c>
      <c r="B916" s="588"/>
      <c r="C916" s="659">
        <v>6.43</v>
      </c>
      <c r="D916" s="440">
        <v>54503453</v>
      </c>
      <c r="E916" s="427"/>
      <c r="F916" s="497" t="s">
        <v>2135</v>
      </c>
      <c r="G916" s="335" t="s">
        <v>40</v>
      </c>
      <c r="H916" s="697">
        <v>1428.1</v>
      </c>
      <c r="I916" s="438">
        <v>203326694</v>
      </c>
      <c r="J916" s="427"/>
      <c r="K916" s="2443"/>
    </row>
    <row r="917" spans="1:11" ht="18" customHeight="1" x14ac:dyDescent="0.25">
      <c r="A917" s="497" t="s">
        <v>1768</v>
      </c>
      <c r="B917" s="573"/>
      <c r="C917" s="659">
        <v>11</v>
      </c>
      <c r="D917" s="440">
        <v>54523435</v>
      </c>
      <c r="E917" s="427"/>
      <c r="F917" s="497" t="s">
        <v>1768</v>
      </c>
      <c r="G917" s="588"/>
      <c r="H917" s="659">
        <v>78</v>
      </c>
      <c r="I917" s="438">
        <v>206697499</v>
      </c>
      <c r="J917" s="427"/>
      <c r="K917" s="2443"/>
    </row>
    <row r="918" spans="1:11" ht="18" customHeight="1" x14ac:dyDescent="0.25">
      <c r="A918" s="1458" t="s">
        <v>1102</v>
      </c>
      <c r="B918" s="335" t="s">
        <v>40</v>
      </c>
      <c r="C918" s="658">
        <v>2</v>
      </c>
      <c r="D918" s="440">
        <v>54524517</v>
      </c>
      <c r="E918" s="427"/>
      <c r="F918" s="1465" t="s">
        <v>1759</v>
      </c>
      <c r="G918" s="626"/>
      <c r="H918" s="659">
        <v>248</v>
      </c>
      <c r="I918" s="440">
        <v>207261203</v>
      </c>
      <c r="J918" s="427"/>
      <c r="K918" s="2443"/>
    </row>
    <row r="919" spans="1:11" ht="18" customHeight="1" x14ac:dyDescent="0.25">
      <c r="A919" s="499" t="s">
        <v>578</v>
      </c>
      <c r="B919" s="335" t="s">
        <v>40</v>
      </c>
      <c r="C919" s="658">
        <v>89.42</v>
      </c>
      <c r="D919" s="438">
        <v>54530318</v>
      </c>
      <c r="E919" s="427"/>
      <c r="F919" s="497" t="s">
        <v>578</v>
      </c>
      <c r="G919" s="644" t="s">
        <v>40</v>
      </c>
      <c r="H919" s="658">
        <v>105.28</v>
      </c>
      <c r="I919" s="443">
        <v>210336180</v>
      </c>
      <c r="J919" s="427"/>
      <c r="K919" s="2443"/>
    </row>
    <row r="920" spans="1:11" ht="18" customHeight="1" x14ac:dyDescent="0.25">
      <c r="A920" s="1410" t="s">
        <v>2558</v>
      </c>
      <c r="B920" s="590"/>
      <c r="C920" s="658">
        <v>397.1</v>
      </c>
      <c r="D920" s="239">
        <v>54533112</v>
      </c>
      <c r="E920" s="427"/>
      <c r="F920" s="497" t="s">
        <v>1594</v>
      </c>
      <c r="G920" s="575" t="s">
        <v>40</v>
      </c>
      <c r="H920" s="658">
        <v>70</v>
      </c>
      <c r="I920" s="438">
        <v>210789434</v>
      </c>
      <c r="J920" s="427"/>
      <c r="K920" s="2443"/>
    </row>
    <row r="921" spans="1:11" ht="18" customHeight="1" x14ac:dyDescent="0.25">
      <c r="A921" s="539" t="s">
        <v>503</v>
      </c>
      <c r="B921" s="566"/>
      <c r="C921" s="657"/>
      <c r="D921" s="464">
        <v>54573840</v>
      </c>
      <c r="E921" s="427"/>
      <c r="F921" s="1857" t="s">
        <v>603</v>
      </c>
      <c r="G921" s="566"/>
      <c r="H921" s="657"/>
      <c r="I921" s="457">
        <v>210810984</v>
      </c>
      <c r="J921" s="427"/>
      <c r="K921" s="2443"/>
    </row>
    <row r="922" spans="1:11" ht="18" customHeight="1" x14ac:dyDescent="0.25">
      <c r="A922" s="497" t="s">
        <v>1767</v>
      </c>
      <c r="B922" s="643"/>
      <c r="C922" s="658">
        <v>12</v>
      </c>
      <c r="D922" s="440">
        <v>54574002</v>
      </c>
      <c r="E922" s="427"/>
      <c r="F922" s="495" t="s">
        <v>1790</v>
      </c>
      <c r="G922" s="566"/>
      <c r="H922" s="697">
        <v>159.88</v>
      </c>
      <c r="I922" s="438">
        <v>223509568</v>
      </c>
      <c r="J922" s="427"/>
      <c r="K922" s="2443"/>
    </row>
    <row r="923" spans="1:11" ht="18" customHeight="1" x14ac:dyDescent="0.25">
      <c r="A923" s="2975" t="s">
        <v>2190</v>
      </c>
      <c r="B923" s="601" t="s">
        <v>40</v>
      </c>
      <c r="C923" s="658">
        <v>60.29</v>
      </c>
      <c r="D923" s="438">
        <v>54803360</v>
      </c>
      <c r="E923" s="427"/>
      <c r="F923" s="493" t="s">
        <v>2625</v>
      </c>
      <c r="G923" s="579" t="s">
        <v>40</v>
      </c>
      <c r="H923" s="663">
        <v>96.52</v>
      </c>
      <c r="I923" s="333">
        <v>236739004</v>
      </c>
      <c r="J923" s="427"/>
      <c r="K923" s="2443"/>
    </row>
    <row r="924" spans="1:11" ht="18" customHeight="1" x14ac:dyDescent="0.25">
      <c r="A924" s="493" t="s">
        <v>1759</v>
      </c>
      <c r="B924" s="578"/>
      <c r="C924" s="676">
        <v>38</v>
      </c>
      <c r="D924" s="464">
        <v>54628890</v>
      </c>
      <c r="E924" s="427"/>
      <c r="F924" s="2975" t="s">
        <v>2190</v>
      </c>
      <c r="G924" s="579" t="s">
        <v>40</v>
      </c>
      <c r="H924" s="697">
        <v>180.34</v>
      </c>
      <c r="I924" s="438">
        <v>237043399</v>
      </c>
      <c r="J924" s="427"/>
      <c r="K924" s="2443"/>
    </row>
    <row r="925" spans="1:11" ht="18" customHeight="1" x14ac:dyDescent="0.25">
      <c r="A925" s="3017" t="s">
        <v>1100</v>
      </c>
      <c r="B925" s="335" t="s">
        <v>40</v>
      </c>
      <c r="C925" s="658">
        <v>16.25</v>
      </c>
      <c r="D925" s="440">
        <v>54732484</v>
      </c>
      <c r="E925" s="427"/>
      <c r="F925" s="2494" t="s">
        <v>1100</v>
      </c>
      <c r="G925" s="571" t="s">
        <v>40</v>
      </c>
      <c r="H925" s="659">
        <v>73.125</v>
      </c>
      <c r="I925" s="439">
        <v>237189392</v>
      </c>
      <c r="J925" s="427"/>
      <c r="K925" s="2443"/>
    </row>
    <row r="926" spans="1:11" ht="18" customHeight="1" x14ac:dyDescent="0.25">
      <c r="A926" s="518" t="s">
        <v>958</v>
      </c>
      <c r="B926" s="587"/>
      <c r="C926" s="658">
        <v>107</v>
      </c>
      <c r="D926" s="439">
        <v>54833874</v>
      </c>
      <c r="E926" s="427"/>
      <c r="F926" s="1390" t="s">
        <v>1959</v>
      </c>
      <c r="G926" s="566"/>
      <c r="H926" s="697">
        <v>14</v>
      </c>
      <c r="I926" s="438">
        <v>241470498</v>
      </c>
      <c r="J926" s="427"/>
      <c r="K926" s="2443"/>
    </row>
    <row r="927" spans="1:11" ht="18" customHeight="1" x14ac:dyDescent="0.25">
      <c r="A927" s="495" t="s">
        <v>921</v>
      </c>
      <c r="B927" s="566"/>
      <c r="C927" s="658">
        <v>16.736000000000001</v>
      </c>
      <c r="D927" s="438">
        <v>55041916</v>
      </c>
      <c r="E927" s="429"/>
      <c r="F927" s="498" t="s">
        <v>1120</v>
      </c>
      <c r="G927" s="566"/>
      <c r="H927" s="697"/>
      <c r="I927" s="438">
        <v>343060820</v>
      </c>
      <c r="J927" s="427"/>
      <c r="K927" s="2443"/>
    </row>
    <row r="928" spans="1:11" ht="18" customHeight="1" x14ac:dyDescent="0.25">
      <c r="A928" s="1457" t="s">
        <v>1834</v>
      </c>
      <c r="B928" s="335" t="s">
        <v>40</v>
      </c>
      <c r="C928" s="658">
        <v>53.475000000000001</v>
      </c>
      <c r="D928" s="438">
        <v>80502287</v>
      </c>
      <c r="E928" s="427"/>
      <c r="F928" s="500" t="s">
        <v>921</v>
      </c>
      <c r="G928" s="587"/>
      <c r="H928" s="658">
        <v>42.213999999999999</v>
      </c>
      <c r="I928" s="455">
        <v>348411634</v>
      </c>
      <c r="J928" s="427"/>
      <c r="K928" s="2443"/>
    </row>
    <row r="929" spans="1:11" ht="18" customHeight="1" x14ac:dyDescent="0.25">
      <c r="A929" s="2471" t="s">
        <v>1846</v>
      </c>
      <c r="B929" s="571" t="s">
        <v>40</v>
      </c>
      <c r="C929" s="658">
        <v>55.283999999999999</v>
      </c>
      <c r="D929" s="455">
        <v>84955752</v>
      </c>
      <c r="E929" s="427"/>
      <c r="F929" s="2472" t="s">
        <v>1846</v>
      </c>
      <c r="G929" s="571" t="s">
        <v>40</v>
      </c>
      <c r="H929" s="658">
        <v>35.313000000000002</v>
      </c>
      <c r="I929" s="438">
        <v>348414629</v>
      </c>
      <c r="J929" s="423"/>
      <c r="K929" s="2443"/>
    </row>
    <row r="930" spans="1:11" ht="18" customHeight="1" x14ac:dyDescent="0.25">
      <c r="A930" s="1473" t="s">
        <v>602</v>
      </c>
      <c r="B930" s="394"/>
      <c r="C930" s="658"/>
      <c r="D930" s="1464" t="s">
        <v>481</v>
      </c>
      <c r="E930" s="427"/>
      <c r="F930" s="2470" t="s">
        <v>1834</v>
      </c>
      <c r="G930" s="394" t="s">
        <v>40</v>
      </c>
      <c r="H930" s="658">
        <v>1120.0360000000001</v>
      </c>
      <c r="I930" s="492">
        <v>348414949</v>
      </c>
      <c r="J930" s="427"/>
      <c r="K930" s="2443"/>
    </row>
    <row r="931" spans="1:11" ht="18" customHeight="1" x14ac:dyDescent="0.25">
      <c r="A931" s="537"/>
      <c r="B931" s="575"/>
      <c r="C931" s="677"/>
      <c r="D931" s="229"/>
      <c r="E931" s="427"/>
      <c r="F931" s="525"/>
      <c r="G931" s="575"/>
      <c r="H931" s="669"/>
      <c r="I931" s="445"/>
      <c r="J931" s="427"/>
      <c r="K931" s="2443"/>
    </row>
    <row r="932" spans="1:11" ht="18" customHeight="1" x14ac:dyDescent="0.25">
      <c r="A932" s="537"/>
      <c r="B932" s="575"/>
      <c r="C932" s="677"/>
      <c r="D932" s="229"/>
      <c r="E932" s="427"/>
      <c r="F932" s="142"/>
      <c r="G932" s="448"/>
      <c r="H932" s="719"/>
      <c r="I932" s="177"/>
      <c r="J932" s="427"/>
      <c r="K932" s="2443"/>
    </row>
    <row r="933" spans="1:11" ht="18" customHeight="1" x14ac:dyDescent="0.25">
      <c r="A933" s="538"/>
      <c r="B933" s="609"/>
      <c r="C933" s="723"/>
      <c r="D933" s="488"/>
      <c r="E933" s="427"/>
      <c r="F933" s="538"/>
      <c r="G933" s="609"/>
      <c r="H933" s="723"/>
      <c r="I933" s="445"/>
      <c r="J933" s="427"/>
      <c r="K933" s="2443"/>
    </row>
    <row r="934" spans="1:11" ht="24" customHeight="1" x14ac:dyDescent="0.25">
      <c r="A934" s="1623" t="s">
        <v>605</v>
      </c>
      <c r="B934" s="560"/>
      <c r="C934" s="2430" t="s">
        <v>480</v>
      </c>
      <c r="D934" s="428" t="s">
        <v>1840</v>
      </c>
      <c r="E934" s="427"/>
      <c r="F934" s="1623" t="s">
        <v>610</v>
      </c>
      <c r="G934" s="560"/>
      <c r="H934" s="2430" t="s">
        <v>480</v>
      </c>
      <c r="I934" s="428" t="s">
        <v>1624</v>
      </c>
      <c r="J934" s="427"/>
      <c r="K934" s="2443"/>
    </row>
    <row r="935" spans="1:11" ht="18" customHeight="1" x14ac:dyDescent="0.25">
      <c r="A935" s="2081" t="s">
        <v>602</v>
      </c>
      <c r="B935" s="569"/>
      <c r="C935" s="692">
        <v>49</v>
      </c>
      <c r="D935" s="2082">
        <v>15305032</v>
      </c>
      <c r="E935" s="427"/>
      <c r="F935" s="1764" t="s">
        <v>575</v>
      </c>
      <c r="G935" s="645"/>
      <c r="H935" s="724">
        <v>455.4</v>
      </c>
      <c r="I935" s="458">
        <v>37373949</v>
      </c>
      <c r="J935" s="427"/>
      <c r="K935" s="2443"/>
    </row>
    <row r="936" spans="1:11" ht="18" customHeight="1" x14ac:dyDescent="0.25">
      <c r="A936" s="4763" t="s">
        <v>2792</v>
      </c>
      <c r="B936" s="4735" t="s">
        <v>40</v>
      </c>
      <c r="C936" s="670">
        <v>2629.1</v>
      </c>
      <c r="D936" s="458">
        <v>18499827</v>
      </c>
      <c r="E936" s="427"/>
      <c r="F936" s="3012" t="s">
        <v>2217</v>
      </c>
      <c r="G936" s="583"/>
      <c r="H936" s="725">
        <v>596.4</v>
      </c>
      <c r="I936" s="487">
        <v>43964474</v>
      </c>
      <c r="J936" s="427"/>
      <c r="K936" s="2443"/>
    </row>
    <row r="937" spans="1:11" ht="18" customHeight="1" x14ac:dyDescent="0.25">
      <c r="A937" s="1488" t="s">
        <v>2478</v>
      </c>
      <c r="B937" s="1721" t="s">
        <v>40</v>
      </c>
      <c r="C937" s="658">
        <v>3119.99</v>
      </c>
      <c r="D937" s="1566">
        <v>18503883</v>
      </c>
      <c r="E937" s="429"/>
      <c r="F937" s="2976" t="s">
        <v>2621</v>
      </c>
      <c r="G937" s="1384"/>
      <c r="H937" s="1866">
        <v>21230.400000000001</v>
      </c>
      <c r="I937" s="1391">
        <v>53467574</v>
      </c>
      <c r="J937" s="427"/>
      <c r="K937" s="2443"/>
    </row>
    <row r="938" spans="1:11" ht="18" customHeight="1" x14ac:dyDescent="0.25">
      <c r="A938" s="3032" t="s">
        <v>2480</v>
      </c>
      <c r="B938" s="1835" t="s">
        <v>40</v>
      </c>
      <c r="C938" s="657">
        <v>1900.5</v>
      </c>
      <c r="D938" s="3016">
        <v>18506453</v>
      </c>
      <c r="E938" s="429"/>
      <c r="F938" s="4745" t="s">
        <v>2792</v>
      </c>
      <c r="G938" s="3289" t="s">
        <v>40</v>
      </c>
      <c r="H938" s="1866">
        <v>8633.2000000000007</v>
      </c>
      <c r="I938" s="3020">
        <v>53569500</v>
      </c>
      <c r="J938" s="427"/>
      <c r="K938" s="2443"/>
    </row>
    <row r="939" spans="1:11" ht="18" customHeight="1" x14ac:dyDescent="0.25">
      <c r="A939" s="1688" t="s">
        <v>2479</v>
      </c>
      <c r="B939" s="3015" t="s">
        <v>40</v>
      </c>
      <c r="C939" s="657">
        <v>1786.32</v>
      </c>
      <c r="D939" s="3016">
        <v>18507448</v>
      </c>
      <c r="E939" s="429"/>
      <c r="F939" s="1688" t="s">
        <v>2478</v>
      </c>
      <c r="G939" s="3097" t="s">
        <v>40</v>
      </c>
      <c r="H939" s="1866">
        <v>10382.969999999999</v>
      </c>
      <c r="I939" s="3020">
        <v>53575833</v>
      </c>
      <c r="J939" s="427"/>
      <c r="K939" s="2443"/>
    </row>
    <row r="940" spans="1:11" ht="18" customHeight="1" x14ac:dyDescent="0.25">
      <c r="A940" s="3293" t="s">
        <v>2621</v>
      </c>
      <c r="B940" s="3194"/>
      <c r="C940" s="3191">
        <v>4533.2</v>
      </c>
      <c r="D940" s="3195">
        <v>18515208</v>
      </c>
      <c r="E940" s="429"/>
      <c r="F940" s="3286" t="s">
        <v>2479</v>
      </c>
      <c r="G940" s="3194" t="s">
        <v>40</v>
      </c>
      <c r="H940" s="3197">
        <v>6700.79</v>
      </c>
      <c r="I940" s="3198">
        <v>53602111</v>
      </c>
      <c r="J940" s="427"/>
      <c r="K940" s="2443"/>
    </row>
    <row r="941" spans="1:11" ht="18" customHeight="1" x14ac:dyDescent="0.25">
      <c r="A941" s="1692" t="s">
        <v>1793</v>
      </c>
      <c r="B941" s="3037"/>
      <c r="C941" s="657">
        <v>11.53</v>
      </c>
      <c r="D941" s="3016">
        <v>18528084</v>
      </c>
      <c r="E941" s="429"/>
      <c r="F941" s="1688" t="s">
        <v>2480</v>
      </c>
      <c r="G941" s="3015" t="s">
        <v>40</v>
      </c>
      <c r="H941" s="1866">
        <v>5977.25</v>
      </c>
      <c r="I941" s="3020">
        <v>53607446</v>
      </c>
      <c r="J941" s="427"/>
      <c r="K941" s="2443"/>
    </row>
    <row r="942" spans="1:11" ht="18" customHeight="1" x14ac:dyDescent="0.25">
      <c r="A942" s="2990" t="s">
        <v>2469</v>
      </c>
      <c r="B942" s="2850" t="s">
        <v>40</v>
      </c>
      <c r="C942" s="658">
        <v>2948.16</v>
      </c>
      <c r="D942" s="1792">
        <v>18540074</v>
      </c>
      <c r="E942" s="429"/>
      <c r="F942" s="2437" t="s">
        <v>1792</v>
      </c>
      <c r="G942" s="2047"/>
      <c r="H942" s="1866">
        <v>127.9</v>
      </c>
      <c r="I942" s="2794">
        <v>53663564</v>
      </c>
      <c r="J942" s="427"/>
      <c r="K942" s="2443"/>
    </row>
    <row r="943" spans="1:11" ht="18" customHeight="1" x14ac:dyDescent="0.25">
      <c r="A943" s="2796" t="s">
        <v>2482</v>
      </c>
      <c r="B943" s="2403" t="s">
        <v>40</v>
      </c>
      <c r="C943" s="697">
        <v>2438.64</v>
      </c>
      <c r="D943" s="1792">
        <v>18542184</v>
      </c>
      <c r="E943" s="429"/>
      <c r="F943" s="4644" t="s">
        <v>2495</v>
      </c>
      <c r="G943" s="2403" t="s">
        <v>40</v>
      </c>
      <c r="H943" s="1866">
        <v>992.79</v>
      </c>
      <c r="I943" s="2794">
        <v>53700143</v>
      </c>
      <c r="J943" s="427"/>
      <c r="K943" s="2443"/>
    </row>
    <row r="944" spans="1:11" ht="18" customHeight="1" x14ac:dyDescent="0.25">
      <c r="A944" s="4632" t="s">
        <v>2495</v>
      </c>
      <c r="B944" s="335" t="s">
        <v>40</v>
      </c>
      <c r="C944" s="657">
        <v>277.63</v>
      </c>
      <c r="D944" s="457">
        <v>18548760</v>
      </c>
      <c r="E944" s="427"/>
      <c r="F944" s="1688" t="s">
        <v>2002</v>
      </c>
      <c r="G944" s="335" t="s">
        <v>40</v>
      </c>
      <c r="H944" s="658">
        <v>916.79</v>
      </c>
      <c r="I944" s="457">
        <v>53700185</v>
      </c>
      <c r="J944" s="427"/>
      <c r="K944" s="2443"/>
    </row>
    <row r="945" spans="1:11" ht="18" customHeight="1" x14ac:dyDescent="0.25">
      <c r="A945" s="3286" t="s">
        <v>2002</v>
      </c>
      <c r="B945" s="3188" t="s">
        <v>40</v>
      </c>
      <c r="C945" s="658">
        <v>255.54</v>
      </c>
      <c r="D945" s="1792">
        <v>18550929</v>
      </c>
      <c r="E945" s="427"/>
      <c r="F945" s="2974" t="s">
        <v>2469</v>
      </c>
      <c r="G945" s="2850" t="s">
        <v>40</v>
      </c>
      <c r="H945" s="658">
        <v>9348.68</v>
      </c>
      <c r="I945" s="1792">
        <v>53708430</v>
      </c>
      <c r="J945" s="427"/>
      <c r="K945" s="2443"/>
    </row>
    <row r="946" spans="1:11" ht="18" customHeight="1" x14ac:dyDescent="0.25">
      <c r="A946" s="493" t="s">
        <v>2483</v>
      </c>
      <c r="B946" s="2043" t="s">
        <v>40</v>
      </c>
      <c r="C946" s="697">
        <v>1964.08</v>
      </c>
      <c r="D946" s="1793">
        <v>18562132</v>
      </c>
      <c r="E946" s="427"/>
      <c r="F946" s="3286" t="s">
        <v>2482</v>
      </c>
      <c r="G946" s="3188" t="s">
        <v>40</v>
      </c>
      <c r="H946" s="658">
        <v>8036.33</v>
      </c>
      <c r="I946" s="1792">
        <v>53726046</v>
      </c>
      <c r="J946" s="427"/>
      <c r="K946" s="2443"/>
    </row>
    <row r="947" spans="1:11" ht="18" customHeight="1" x14ac:dyDescent="0.25">
      <c r="A947" s="1390" t="s">
        <v>748</v>
      </c>
      <c r="B947" s="1803" t="s">
        <v>40</v>
      </c>
      <c r="C947" s="658">
        <v>244.08</v>
      </c>
      <c r="D947" s="1792">
        <v>18569530</v>
      </c>
      <c r="E947" s="427"/>
      <c r="F947" s="1390" t="s">
        <v>2483</v>
      </c>
      <c r="G947" s="1803" t="s">
        <v>40</v>
      </c>
      <c r="H947" s="697">
        <v>6420.35</v>
      </c>
      <c r="I947" s="1792">
        <v>53740930</v>
      </c>
      <c r="J947" s="427"/>
      <c r="K947" s="2443"/>
    </row>
    <row r="948" spans="1:11" ht="18" customHeight="1" x14ac:dyDescent="0.25">
      <c r="A948" s="1688" t="s">
        <v>1792</v>
      </c>
      <c r="B948" s="566"/>
      <c r="C948" s="658">
        <v>40.119999999999997</v>
      </c>
      <c r="D948" s="457">
        <v>18574131</v>
      </c>
      <c r="E948" s="427"/>
      <c r="F948" s="1688" t="s">
        <v>748</v>
      </c>
      <c r="G948" s="335" t="s">
        <v>40</v>
      </c>
      <c r="H948" s="697">
        <v>870.03</v>
      </c>
      <c r="I948" s="457">
        <v>53741882</v>
      </c>
      <c r="J948" s="427"/>
      <c r="K948" s="2443"/>
    </row>
    <row r="949" spans="1:11" ht="18" customHeight="1" x14ac:dyDescent="0.25">
      <c r="A949" s="2957" t="s">
        <v>2623</v>
      </c>
      <c r="B949" s="572"/>
      <c r="C949" s="658">
        <v>410.5</v>
      </c>
      <c r="D949" s="1754">
        <v>18589969</v>
      </c>
      <c r="E949" s="427"/>
      <c r="F949" s="2974" t="s">
        <v>2585</v>
      </c>
      <c r="G949" s="335"/>
      <c r="H949" s="658">
        <v>29</v>
      </c>
      <c r="I949" s="1754">
        <v>53776259</v>
      </c>
      <c r="J949" s="427"/>
      <c r="K949" s="2443"/>
    </row>
    <row r="950" spans="1:11" ht="18" customHeight="1" x14ac:dyDescent="0.25">
      <c r="A950" s="2976" t="s">
        <v>2556</v>
      </c>
      <c r="B950" s="1384"/>
      <c r="C950" s="658">
        <v>26.6</v>
      </c>
      <c r="D950" s="457">
        <v>18594941</v>
      </c>
      <c r="E950" s="427"/>
      <c r="F950" s="1765" t="s">
        <v>1826</v>
      </c>
      <c r="G950" s="1384" t="s">
        <v>40</v>
      </c>
      <c r="H950" s="697">
        <v>75.826999999999998</v>
      </c>
      <c r="I950" s="457">
        <v>53952177</v>
      </c>
      <c r="J950" s="427"/>
      <c r="K950" s="2443"/>
    </row>
    <row r="951" spans="1:11" ht="18" customHeight="1" x14ac:dyDescent="0.25">
      <c r="A951" s="1488" t="s">
        <v>1833</v>
      </c>
      <c r="B951" s="585" t="s">
        <v>40</v>
      </c>
      <c r="C951" s="658">
        <v>47.152000000000001</v>
      </c>
      <c r="D951" s="333">
        <v>18596190</v>
      </c>
      <c r="E951" s="427"/>
      <c r="F951" s="1404" t="s">
        <v>1793</v>
      </c>
      <c r="G951" s="3326"/>
      <c r="H951" s="682">
        <v>44.3</v>
      </c>
      <c r="I951" s="468">
        <v>53971499</v>
      </c>
      <c r="J951" s="427"/>
      <c r="K951" s="2443"/>
    </row>
    <row r="952" spans="1:11" ht="18" customHeight="1" x14ac:dyDescent="0.25">
      <c r="A952" s="1726" t="s">
        <v>1758</v>
      </c>
      <c r="B952" s="572"/>
      <c r="C952" s="658">
        <v>44.6</v>
      </c>
      <c r="D952" s="457">
        <v>18604663</v>
      </c>
      <c r="E952" s="427"/>
      <c r="F952" s="4725" t="s">
        <v>2556</v>
      </c>
      <c r="G952" s="335"/>
      <c r="H952" s="658">
        <v>82.17</v>
      </c>
      <c r="I952" s="457">
        <v>53989291</v>
      </c>
      <c r="J952" s="427"/>
      <c r="K952" s="2443"/>
    </row>
    <row r="953" spans="1:11" ht="18" customHeight="1" x14ac:dyDescent="0.25">
      <c r="A953" s="1768" t="s">
        <v>1826</v>
      </c>
      <c r="B953" s="335" t="s">
        <v>40</v>
      </c>
      <c r="C953" s="658">
        <v>35.99</v>
      </c>
      <c r="D953" s="457">
        <v>18611245</v>
      </c>
      <c r="E953" s="427"/>
      <c r="F953" s="2464" t="s">
        <v>1835</v>
      </c>
      <c r="G953" s="335"/>
      <c r="H953" s="697">
        <f>10.189+13</f>
        <v>23.189</v>
      </c>
      <c r="I953" s="438">
        <v>54053680</v>
      </c>
      <c r="J953" s="427"/>
      <c r="K953" s="2443"/>
    </row>
    <row r="954" spans="1:11" ht="18" customHeight="1" x14ac:dyDescent="0.25">
      <c r="A954" s="3075" t="s">
        <v>2134</v>
      </c>
      <c r="B954" s="335"/>
      <c r="C954" s="658">
        <v>13</v>
      </c>
      <c r="D954" s="457">
        <v>18620756</v>
      </c>
      <c r="E954" s="427"/>
      <c r="F954" s="2455" t="s">
        <v>1847</v>
      </c>
      <c r="G954" s="335" t="s">
        <v>40</v>
      </c>
      <c r="H954" s="697">
        <f>6.061+13</f>
        <v>19.061</v>
      </c>
      <c r="I954" s="457">
        <v>54054577</v>
      </c>
      <c r="J954" s="427"/>
      <c r="K954" s="2443"/>
    </row>
    <row r="955" spans="1:11" ht="18" customHeight="1" x14ac:dyDescent="0.25">
      <c r="A955" s="494" t="s">
        <v>2026</v>
      </c>
      <c r="B955" s="335"/>
      <c r="C955" s="658">
        <v>10.6</v>
      </c>
      <c r="D955" s="457">
        <v>18622698</v>
      </c>
      <c r="E955" s="427"/>
      <c r="F955" s="2446" t="s">
        <v>1836</v>
      </c>
      <c r="G955" s="335" t="s">
        <v>40</v>
      </c>
      <c r="H955" s="659">
        <f>39.091+13</f>
        <v>52.091000000000001</v>
      </c>
      <c r="I955" s="457">
        <v>54055544</v>
      </c>
      <c r="J955" s="427"/>
      <c r="K955" s="2443"/>
    </row>
    <row r="956" spans="1:11" ht="18" customHeight="1" x14ac:dyDescent="0.25">
      <c r="A956" s="2464" t="s">
        <v>1835</v>
      </c>
      <c r="B956" s="335"/>
      <c r="C956" s="659">
        <f>2.851+3</f>
        <v>5.851</v>
      </c>
      <c r="D956" s="438">
        <v>18639166</v>
      </c>
      <c r="E956" s="429"/>
      <c r="F956" s="1387" t="s">
        <v>2026</v>
      </c>
      <c r="G956" s="335"/>
      <c r="H956" s="697">
        <v>45.7</v>
      </c>
      <c r="I956" s="457">
        <v>54067681</v>
      </c>
      <c r="J956" s="427"/>
      <c r="K956" s="2443"/>
    </row>
    <row r="957" spans="1:11" ht="18" customHeight="1" x14ac:dyDescent="0.25">
      <c r="A957" s="2454" t="s">
        <v>1836</v>
      </c>
      <c r="B957" s="1384" t="s">
        <v>40</v>
      </c>
      <c r="C957" s="660">
        <f>2.57+3</f>
        <v>5.57</v>
      </c>
      <c r="D957" s="457">
        <v>18639610</v>
      </c>
      <c r="E957" s="429"/>
      <c r="F957" s="511" t="s">
        <v>2152</v>
      </c>
      <c r="G957" s="1384" t="s">
        <v>40</v>
      </c>
      <c r="H957" s="698">
        <v>15</v>
      </c>
      <c r="I957" s="457">
        <v>54082810</v>
      </c>
      <c r="J957" s="427"/>
      <c r="K957" s="2443"/>
    </row>
    <row r="958" spans="1:11" ht="18" customHeight="1" x14ac:dyDescent="0.25">
      <c r="A958" s="2446" t="s">
        <v>1847</v>
      </c>
      <c r="B958" s="335" t="s">
        <v>40</v>
      </c>
      <c r="C958" s="697">
        <v>3</v>
      </c>
      <c r="D958" s="440">
        <v>18639815</v>
      </c>
      <c r="E958" s="427"/>
      <c r="F958" s="502" t="s">
        <v>1756</v>
      </c>
      <c r="G958" s="335" t="s">
        <v>40</v>
      </c>
      <c r="H958" s="659">
        <v>226.83</v>
      </c>
      <c r="I958" s="455">
        <v>54096452</v>
      </c>
      <c r="J958" s="427"/>
      <c r="K958" s="2443"/>
    </row>
    <row r="959" spans="1:11" ht="18" customHeight="1" x14ac:dyDescent="0.25">
      <c r="A959" s="493" t="s">
        <v>1101</v>
      </c>
      <c r="B959" s="573"/>
      <c r="C959" s="658">
        <v>246.3</v>
      </c>
      <c r="D959" s="455">
        <v>18642551</v>
      </c>
      <c r="E959" s="427"/>
      <c r="F959" s="2978" t="s">
        <v>2134</v>
      </c>
      <c r="G959" s="335"/>
      <c r="H959" s="657">
        <v>36</v>
      </c>
      <c r="I959" s="442">
        <v>54117014</v>
      </c>
      <c r="J959" s="427"/>
      <c r="K959" s="2443"/>
    </row>
    <row r="960" spans="1:11" ht="18" customHeight="1" x14ac:dyDescent="0.25">
      <c r="A960" s="2996" t="s">
        <v>2152</v>
      </c>
      <c r="B960" s="585" t="s">
        <v>40</v>
      </c>
      <c r="C960" s="658">
        <v>3</v>
      </c>
      <c r="D960" s="457">
        <v>18649625</v>
      </c>
      <c r="E960" s="427"/>
      <c r="F960" s="2313" t="s">
        <v>2624</v>
      </c>
      <c r="G960" s="1384" t="s">
        <v>40</v>
      </c>
      <c r="H960" s="697">
        <v>19</v>
      </c>
      <c r="I960" s="457">
        <v>54135602</v>
      </c>
      <c r="J960" s="427"/>
      <c r="K960" s="2443"/>
    </row>
    <row r="961" spans="1:11" ht="18" customHeight="1" x14ac:dyDescent="0.25">
      <c r="A961" s="523" t="s">
        <v>2585</v>
      </c>
      <c r="B961" s="1364"/>
      <c r="C961" s="658">
        <v>10</v>
      </c>
      <c r="D961" s="457">
        <v>18650573</v>
      </c>
      <c r="E961" s="427"/>
      <c r="F961" s="2496" t="s">
        <v>2626</v>
      </c>
      <c r="G961" s="335"/>
      <c r="H961" s="697">
        <v>6.88</v>
      </c>
      <c r="I961" s="457">
        <v>54137309</v>
      </c>
      <c r="J961" s="427"/>
      <c r="K961" s="2443"/>
    </row>
    <row r="962" spans="1:11" ht="18" customHeight="1" x14ac:dyDescent="0.25">
      <c r="A962" s="494" t="s">
        <v>575</v>
      </c>
      <c r="B962" s="566"/>
      <c r="C962" s="657">
        <v>24.26</v>
      </c>
      <c r="D962" s="442">
        <v>18656093</v>
      </c>
      <c r="E962" s="427"/>
      <c r="F962" s="496" t="s">
        <v>958</v>
      </c>
      <c r="G962" s="566"/>
      <c r="H962" s="697">
        <v>124</v>
      </c>
      <c r="I962" s="457">
        <v>54257029</v>
      </c>
      <c r="J962" s="427"/>
      <c r="K962" s="2443"/>
    </row>
    <row r="963" spans="1:11" ht="18" customHeight="1" x14ac:dyDescent="0.25">
      <c r="A963" s="3011" t="s">
        <v>2217</v>
      </c>
      <c r="B963" s="335"/>
      <c r="C963" s="658">
        <v>41.4</v>
      </c>
      <c r="D963" s="455">
        <v>18656611</v>
      </c>
      <c r="E963" s="427"/>
      <c r="F963" s="493" t="s">
        <v>1790</v>
      </c>
      <c r="G963" s="566"/>
      <c r="H963" s="697">
        <v>34.26</v>
      </c>
      <c r="I963" s="455">
        <v>54257029</v>
      </c>
      <c r="J963" s="427"/>
      <c r="K963" s="2443"/>
    </row>
    <row r="964" spans="1:11" ht="18" customHeight="1" x14ac:dyDescent="0.25">
      <c r="A964" s="1455" t="s">
        <v>1711</v>
      </c>
      <c r="B964" s="592" t="s">
        <v>40</v>
      </c>
      <c r="C964" s="658">
        <v>1.4950000000000001</v>
      </c>
      <c r="D964" s="438">
        <v>18671205</v>
      </c>
      <c r="E964" s="427"/>
      <c r="F964" s="493" t="s">
        <v>1833</v>
      </c>
      <c r="G964" s="335" t="s">
        <v>40</v>
      </c>
      <c r="H964" s="659">
        <v>82.448999999999998</v>
      </c>
      <c r="I964" s="438">
        <v>54268595</v>
      </c>
      <c r="J964" s="427"/>
      <c r="K964" s="2443"/>
    </row>
    <row r="965" spans="1:11" ht="18" customHeight="1" x14ac:dyDescent="0.25">
      <c r="A965" s="2313" t="s">
        <v>2626</v>
      </c>
      <c r="B965" s="335"/>
      <c r="C965" s="658">
        <v>3.25</v>
      </c>
      <c r="D965" s="438">
        <v>18684866</v>
      </c>
      <c r="E965" s="427"/>
      <c r="F965" s="524" t="s">
        <v>1102</v>
      </c>
      <c r="G965" s="335" t="s">
        <v>40</v>
      </c>
      <c r="H965" s="698">
        <v>2</v>
      </c>
      <c r="I965" s="456">
        <v>54284641</v>
      </c>
      <c r="J965" s="427"/>
      <c r="K965" s="2443"/>
    </row>
    <row r="966" spans="1:11" ht="18" customHeight="1" x14ac:dyDescent="0.25">
      <c r="A966" s="511" t="s">
        <v>2135</v>
      </c>
      <c r="B966" s="335" t="s">
        <v>40</v>
      </c>
      <c r="C966" s="658">
        <v>34.700000000000003</v>
      </c>
      <c r="D966" s="457">
        <v>18685683</v>
      </c>
      <c r="E966" s="427"/>
      <c r="F966" s="511" t="s">
        <v>1711</v>
      </c>
      <c r="G966" s="335" t="s">
        <v>40</v>
      </c>
      <c r="H966" s="697">
        <v>9.1470000000000002</v>
      </c>
      <c r="I966" s="457">
        <v>54306374</v>
      </c>
      <c r="J966" s="427"/>
      <c r="K966" s="2443"/>
    </row>
    <row r="967" spans="1:11" ht="18" customHeight="1" x14ac:dyDescent="0.25">
      <c r="A967" s="1399" t="s">
        <v>1756</v>
      </c>
      <c r="B967" s="335" t="s">
        <v>40</v>
      </c>
      <c r="C967" s="658">
        <v>18.47</v>
      </c>
      <c r="D967" s="438">
        <v>18689824</v>
      </c>
      <c r="E967" s="427"/>
      <c r="F967" s="497" t="s">
        <v>1767</v>
      </c>
      <c r="G967" s="643"/>
      <c r="H967" s="697">
        <v>14</v>
      </c>
      <c r="I967" s="438">
        <v>55475926</v>
      </c>
      <c r="J967" s="427"/>
      <c r="K967" s="2443"/>
    </row>
    <row r="968" spans="1:11" ht="18" customHeight="1" x14ac:dyDescent="0.25">
      <c r="A968" s="497" t="s">
        <v>1768</v>
      </c>
      <c r="B968" s="573"/>
      <c r="C968" s="659">
        <v>3</v>
      </c>
      <c r="D968" s="438">
        <v>18698245</v>
      </c>
      <c r="E968" s="427"/>
      <c r="F968" s="495" t="s">
        <v>578</v>
      </c>
      <c r="G968" s="569" t="s">
        <v>40</v>
      </c>
      <c r="H968" s="697">
        <v>87.44</v>
      </c>
      <c r="I968" s="438">
        <v>59293724</v>
      </c>
      <c r="J968" s="427"/>
      <c r="K968" s="2443"/>
    </row>
    <row r="969" spans="1:11" ht="18" customHeight="1" x14ac:dyDescent="0.25">
      <c r="A969" s="2981" t="s">
        <v>2624</v>
      </c>
      <c r="B969" s="335" t="s">
        <v>40</v>
      </c>
      <c r="C969" s="658">
        <v>4.7</v>
      </c>
      <c r="D969" s="438">
        <v>18701887</v>
      </c>
      <c r="E969" s="427"/>
      <c r="F969" s="1465" t="s">
        <v>1594</v>
      </c>
      <c r="G969" s="585" t="s">
        <v>40</v>
      </c>
      <c r="H969" s="659">
        <v>19.8</v>
      </c>
      <c r="I969" s="438">
        <v>59394852</v>
      </c>
      <c r="J969" s="427"/>
      <c r="K969" s="2443"/>
    </row>
    <row r="970" spans="1:11" ht="18" customHeight="1" x14ac:dyDescent="0.25">
      <c r="A970" s="2956" t="s">
        <v>2558</v>
      </c>
      <c r="B970" s="335"/>
      <c r="C970" s="658">
        <v>166.7</v>
      </c>
      <c r="D970" s="438">
        <v>18704630</v>
      </c>
      <c r="E970" s="427"/>
      <c r="F970" s="497" t="s">
        <v>1101</v>
      </c>
      <c r="G970" s="578"/>
      <c r="H970" s="659">
        <v>627.66999999999996</v>
      </c>
      <c r="I970" s="438">
        <v>60564488</v>
      </c>
      <c r="J970" s="427"/>
      <c r="K970" s="2443"/>
    </row>
    <row r="971" spans="1:11" ht="18" customHeight="1" x14ac:dyDescent="0.25">
      <c r="A971" s="495" t="s">
        <v>1759</v>
      </c>
      <c r="B971" s="576"/>
      <c r="C971" s="659">
        <v>14</v>
      </c>
      <c r="D971" s="438">
        <v>18725619</v>
      </c>
      <c r="E971" s="427"/>
      <c r="F971" s="1410" t="s">
        <v>2623</v>
      </c>
      <c r="G971" s="592"/>
      <c r="H971" s="697">
        <v>1336.3</v>
      </c>
      <c r="I971" s="239">
        <v>63521031</v>
      </c>
      <c r="J971" s="427"/>
      <c r="K971" s="2443"/>
    </row>
    <row r="972" spans="1:11" ht="18" customHeight="1" x14ac:dyDescent="0.25">
      <c r="A972" s="524" t="s">
        <v>1102</v>
      </c>
      <c r="B972" s="601" t="s">
        <v>40</v>
      </c>
      <c r="C972" s="658">
        <v>1</v>
      </c>
      <c r="D972" s="239">
        <v>18764305</v>
      </c>
      <c r="E972" s="427"/>
      <c r="F972" s="2959" t="s">
        <v>2558</v>
      </c>
      <c r="G972" s="335"/>
      <c r="H972" s="658">
        <v>610.4</v>
      </c>
      <c r="I972" s="438">
        <v>63683452</v>
      </c>
      <c r="J972" s="427"/>
      <c r="K972" s="2443"/>
    </row>
    <row r="973" spans="1:11" ht="18" customHeight="1" x14ac:dyDescent="0.25">
      <c r="A973" s="497" t="s">
        <v>2625</v>
      </c>
      <c r="B973" s="575" t="s">
        <v>40</v>
      </c>
      <c r="C973" s="659">
        <v>5.49</v>
      </c>
      <c r="D973" s="440">
        <v>18787035</v>
      </c>
      <c r="E973" s="427"/>
      <c r="F973" s="499" t="s">
        <v>2135</v>
      </c>
      <c r="G973" s="575" t="s">
        <v>40</v>
      </c>
      <c r="H973" s="658">
        <v>261.39999999999998</v>
      </c>
      <c r="I973" s="438">
        <v>64293970</v>
      </c>
      <c r="J973" s="427"/>
      <c r="K973" s="2443"/>
    </row>
    <row r="974" spans="1:11" ht="18" customHeight="1" x14ac:dyDescent="0.25">
      <c r="A974" s="1390" t="s">
        <v>1790</v>
      </c>
      <c r="B974" s="566"/>
      <c r="C974" s="658">
        <v>10.73</v>
      </c>
      <c r="D974" s="438">
        <v>18795200</v>
      </c>
      <c r="E974" s="427"/>
      <c r="F974" s="493" t="s">
        <v>1758</v>
      </c>
      <c r="G974" s="572"/>
      <c r="H974" s="658">
        <v>138.80000000000001</v>
      </c>
      <c r="I974" s="438">
        <v>64422806</v>
      </c>
      <c r="J974" s="427"/>
      <c r="K974" s="2443"/>
    </row>
    <row r="975" spans="1:11" ht="18" customHeight="1" x14ac:dyDescent="0.25">
      <c r="A975" s="493" t="s">
        <v>1959</v>
      </c>
      <c r="B975" s="605"/>
      <c r="C975" s="697">
        <v>1</v>
      </c>
      <c r="D975" s="333">
        <v>18809468</v>
      </c>
      <c r="E975" s="427"/>
      <c r="F975" s="497" t="s">
        <v>1768</v>
      </c>
      <c r="G975" s="578"/>
      <c r="H975" s="659">
        <v>13</v>
      </c>
      <c r="I975" s="333">
        <v>64428975</v>
      </c>
      <c r="J975" s="427"/>
      <c r="K975" s="2443"/>
    </row>
    <row r="976" spans="1:11" ht="18" customHeight="1" x14ac:dyDescent="0.25">
      <c r="A976" s="2975" t="s">
        <v>2190</v>
      </c>
      <c r="B976" s="335" t="s">
        <v>40</v>
      </c>
      <c r="C976" s="657">
        <v>14.2</v>
      </c>
      <c r="D976" s="457">
        <v>18829225</v>
      </c>
      <c r="E976" s="427"/>
      <c r="F976" s="511" t="s">
        <v>1759</v>
      </c>
      <c r="G976" s="573"/>
      <c r="H976" s="660">
        <v>45</v>
      </c>
      <c r="I976" s="457">
        <v>64594349</v>
      </c>
      <c r="J976" s="427"/>
      <c r="K976" s="2443"/>
    </row>
    <row r="977" spans="1:11" ht="18" customHeight="1" x14ac:dyDescent="0.25">
      <c r="A977" s="1465" t="s">
        <v>1594</v>
      </c>
      <c r="B977" s="394" t="s">
        <v>40</v>
      </c>
      <c r="C977" s="697">
        <v>4.0999999999999996</v>
      </c>
      <c r="D977" s="333">
        <v>18851024</v>
      </c>
      <c r="E977" s="427"/>
      <c r="F977" s="1465" t="s">
        <v>1959</v>
      </c>
      <c r="G977" s="2088"/>
      <c r="H977" s="697">
        <v>1</v>
      </c>
      <c r="I977" s="333">
        <v>67021352</v>
      </c>
      <c r="J977" s="427"/>
      <c r="K977" s="2443"/>
    </row>
    <row r="978" spans="1:11" ht="18" customHeight="1" x14ac:dyDescent="0.25">
      <c r="A978" s="1766" t="s">
        <v>958</v>
      </c>
      <c r="B978" s="566"/>
      <c r="C978" s="658">
        <v>29</v>
      </c>
      <c r="D978" s="333">
        <v>18852069</v>
      </c>
      <c r="E978" s="427"/>
      <c r="F978" s="1390" t="s">
        <v>2625</v>
      </c>
      <c r="G978" s="335" t="s">
        <v>40</v>
      </c>
      <c r="H978" s="659">
        <v>15.77</v>
      </c>
      <c r="I978" s="333">
        <v>67124841</v>
      </c>
      <c r="J978" s="427"/>
      <c r="K978" s="2443"/>
    </row>
    <row r="979" spans="1:11" ht="18" customHeight="1" x14ac:dyDescent="0.25">
      <c r="A979" s="495" t="s">
        <v>1767</v>
      </c>
      <c r="B979" s="335"/>
      <c r="C979" s="658">
        <v>4</v>
      </c>
      <c r="D979" s="333">
        <v>18854693</v>
      </c>
      <c r="E979" s="427"/>
      <c r="F979" s="2496" t="s">
        <v>1100</v>
      </c>
      <c r="G979" s="335" t="s">
        <v>40</v>
      </c>
      <c r="H979" s="658">
        <v>19.7</v>
      </c>
      <c r="I979" s="333">
        <v>67771285</v>
      </c>
      <c r="J979" s="427"/>
      <c r="K979" s="2443"/>
    </row>
    <row r="980" spans="1:11" ht="18" customHeight="1" x14ac:dyDescent="0.25">
      <c r="A980" s="499" t="s">
        <v>578</v>
      </c>
      <c r="B980" s="335" t="s">
        <v>40</v>
      </c>
      <c r="C980" s="658">
        <v>87.18</v>
      </c>
      <c r="D980" s="438">
        <v>18863708</v>
      </c>
      <c r="E980" s="427"/>
      <c r="F980" s="2975" t="s">
        <v>2190</v>
      </c>
      <c r="G980" s="335" t="s">
        <v>40</v>
      </c>
      <c r="H980" s="658">
        <v>50.17</v>
      </c>
      <c r="I980" s="438">
        <v>67813848</v>
      </c>
      <c r="J980" s="427"/>
      <c r="K980" s="2443"/>
    </row>
    <row r="981" spans="1:11" ht="18" customHeight="1" x14ac:dyDescent="0.25">
      <c r="A981" s="2494" t="s">
        <v>1100</v>
      </c>
      <c r="B981" s="571" t="s">
        <v>40</v>
      </c>
      <c r="C981" s="658">
        <v>5.56</v>
      </c>
      <c r="D981" s="455">
        <v>18887835</v>
      </c>
      <c r="E981" s="427"/>
      <c r="F981" s="554" t="s">
        <v>503</v>
      </c>
      <c r="G981" s="566"/>
      <c r="H981" s="697"/>
      <c r="I981" s="438">
        <v>68404936</v>
      </c>
      <c r="J981" s="427"/>
      <c r="K981" s="2443"/>
    </row>
    <row r="982" spans="1:11" ht="18" customHeight="1" x14ac:dyDescent="0.25">
      <c r="A982" s="518" t="s">
        <v>503</v>
      </c>
      <c r="B982" s="566"/>
      <c r="C982" s="659"/>
      <c r="D982" s="438">
        <v>19319296</v>
      </c>
      <c r="E982" s="427"/>
      <c r="F982" s="500" t="s">
        <v>921</v>
      </c>
      <c r="G982" s="587"/>
      <c r="H982" s="697">
        <v>10.189</v>
      </c>
      <c r="I982" s="455">
        <v>68822419</v>
      </c>
      <c r="J982" s="427"/>
      <c r="K982" s="2443"/>
    </row>
    <row r="983" spans="1:11" ht="18" customHeight="1" x14ac:dyDescent="0.25">
      <c r="A983" s="493" t="s">
        <v>921</v>
      </c>
      <c r="B983" s="605"/>
      <c r="C983" s="659">
        <v>2.851</v>
      </c>
      <c r="D983" s="438">
        <v>19759919</v>
      </c>
      <c r="E983" s="427"/>
      <c r="F983" s="1458" t="s">
        <v>1846</v>
      </c>
      <c r="G983" s="571" t="s">
        <v>40</v>
      </c>
      <c r="H983" s="697">
        <v>6.0609999999999999</v>
      </c>
      <c r="I983" s="455">
        <v>68869094</v>
      </c>
      <c r="J983" s="427"/>
      <c r="K983" s="2443"/>
    </row>
    <row r="984" spans="1:11" ht="18" customHeight="1" x14ac:dyDescent="0.25">
      <c r="A984" s="1457" t="s">
        <v>1846</v>
      </c>
      <c r="B984" s="571" t="s">
        <v>40</v>
      </c>
      <c r="C984" s="697">
        <v>1.482</v>
      </c>
      <c r="D984" s="439">
        <v>19759958</v>
      </c>
      <c r="E984" s="427"/>
      <c r="F984" s="1437" t="s">
        <v>1834</v>
      </c>
      <c r="G984" s="335" t="s">
        <v>40</v>
      </c>
      <c r="H984" s="659">
        <v>39.091000000000001</v>
      </c>
      <c r="I984" s="438">
        <v>68871290</v>
      </c>
      <c r="J984" s="427"/>
      <c r="K984" s="2443"/>
    </row>
    <row r="985" spans="1:11" ht="18" customHeight="1" x14ac:dyDescent="0.25">
      <c r="A985" s="2470" t="s">
        <v>1834</v>
      </c>
      <c r="B985" s="394" t="s">
        <v>40</v>
      </c>
      <c r="C985" s="659">
        <v>2.57</v>
      </c>
      <c r="D985" s="492">
        <v>19759966</v>
      </c>
      <c r="E985" s="427"/>
      <c r="F985" s="1473" t="s">
        <v>602</v>
      </c>
      <c r="G985" s="394"/>
      <c r="H985" s="658"/>
      <c r="I985" s="1464" t="s">
        <v>481</v>
      </c>
      <c r="J985" s="427"/>
      <c r="K985" s="2443"/>
    </row>
    <row r="986" spans="1:11" ht="18" customHeight="1" x14ac:dyDescent="0.25">
      <c r="A986" s="142"/>
      <c r="B986" s="448"/>
      <c r="C986" s="719"/>
      <c r="D986" s="229"/>
      <c r="E986" s="427"/>
      <c r="F986" s="525"/>
      <c r="G986" s="448"/>
      <c r="H986" s="719"/>
      <c r="I986" s="177"/>
      <c r="J986" s="427"/>
      <c r="K986" s="2443"/>
    </row>
    <row r="987" spans="1:11" ht="18" customHeight="1" x14ac:dyDescent="0.25">
      <c r="A987" s="537"/>
      <c r="B987" s="575"/>
      <c r="C987" s="677"/>
      <c r="D987" s="229"/>
      <c r="E987" s="427"/>
      <c r="F987" s="142"/>
      <c r="G987" s="448"/>
      <c r="H987" s="719"/>
      <c r="I987" s="177"/>
      <c r="J987" s="427"/>
      <c r="K987" s="2443"/>
    </row>
    <row r="988" spans="1:11" ht="18" customHeight="1" x14ac:dyDescent="0.25">
      <c r="A988" s="538"/>
      <c r="B988" s="448"/>
      <c r="C988" s="426"/>
      <c r="D988" s="452"/>
      <c r="E988" s="427"/>
      <c r="F988" s="538"/>
      <c r="G988" s="448"/>
      <c r="H988" s="426"/>
      <c r="I988" s="445"/>
      <c r="J988" s="427"/>
      <c r="K988" s="2443"/>
    </row>
    <row r="989" spans="1:11" ht="24" customHeight="1" x14ac:dyDescent="0.25">
      <c r="A989" s="495" t="s">
        <v>604</v>
      </c>
      <c r="B989" s="564"/>
      <c r="C989" s="2430" t="s">
        <v>480</v>
      </c>
      <c r="D989" s="428" t="s">
        <v>1624</v>
      </c>
      <c r="E989" s="427"/>
      <c r="F989" s="560"/>
      <c r="G989" s="560"/>
      <c r="H989" s="722"/>
      <c r="I989" s="436"/>
      <c r="J989" s="427"/>
      <c r="K989" s="2443"/>
    </row>
    <row r="990" spans="1:11" ht="18" customHeight="1" x14ac:dyDescent="0.25">
      <c r="A990" s="3009" t="s">
        <v>2217</v>
      </c>
      <c r="B990" s="610"/>
      <c r="C990" s="678">
        <v>883.8</v>
      </c>
      <c r="D990" s="461">
        <v>68164251</v>
      </c>
      <c r="E990" s="427"/>
      <c r="F990" s="525"/>
      <c r="G990" s="448"/>
      <c r="H990" s="719"/>
      <c r="I990" s="415"/>
      <c r="J990" s="427"/>
      <c r="K990" s="2443"/>
    </row>
    <row r="991" spans="1:11" ht="18" customHeight="1" x14ac:dyDescent="0.25">
      <c r="A991" s="1488" t="s">
        <v>575</v>
      </c>
      <c r="B991" s="583"/>
      <c r="C991" s="658">
        <v>500.71</v>
      </c>
      <c r="D991" s="440">
        <v>69545546</v>
      </c>
      <c r="E991" s="427"/>
      <c r="F991" s="525"/>
      <c r="G991" s="142"/>
      <c r="H991" s="677"/>
      <c r="I991" s="177"/>
      <c r="J991" s="427"/>
      <c r="K991" s="2443"/>
    </row>
    <row r="992" spans="1:11" ht="18" customHeight="1" x14ac:dyDescent="0.25">
      <c r="A992" s="2975" t="s">
        <v>2585</v>
      </c>
      <c r="B992" s="3073"/>
      <c r="C992" s="658">
        <v>95</v>
      </c>
      <c r="D992" s="1792">
        <v>86012609</v>
      </c>
      <c r="E992" s="427"/>
      <c r="F992" s="525"/>
      <c r="G992" s="142"/>
      <c r="H992" s="677"/>
      <c r="I992" s="177"/>
      <c r="J992" s="427"/>
      <c r="K992" s="2443"/>
    </row>
    <row r="993" spans="1:11" ht="18" customHeight="1" x14ac:dyDescent="0.25">
      <c r="A993" s="3293" t="s">
        <v>2621</v>
      </c>
      <c r="B993" s="3194"/>
      <c r="C993" s="3191">
        <v>30893.3</v>
      </c>
      <c r="D993" s="3195">
        <v>100123960</v>
      </c>
      <c r="E993" s="427"/>
      <c r="F993" s="525"/>
      <c r="G993" s="142"/>
      <c r="H993" s="677"/>
      <c r="I993" s="177"/>
      <c r="J993" s="427"/>
      <c r="K993" s="2443"/>
    </row>
    <row r="994" spans="1:11" ht="18" customHeight="1" x14ac:dyDescent="0.25">
      <c r="A994" s="4745" t="s">
        <v>2792</v>
      </c>
      <c r="B994" s="3289" t="s">
        <v>40</v>
      </c>
      <c r="C994" s="657">
        <v>18622.5</v>
      </c>
      <c r="D994" s="3016">
        <v>100236134</v>
      </c>
      <c r="E994" s="427"/>
      <c r="F994" s="525"/>
      <c r="G994" s="142"/>
      <c r="H994" s="677"/>
      <c r="I994" s="177"/>
      <c r="J994" s="427"/>
      <c r="K994" s="2443"/>
    </row>
    <row r="995" spans="1:11" ht="18" customHeight="1" x14ac:dyDescent="0.25">
      <c r="A995" s="1688" t="s">
        <v>2478</v>
      </c>
      <c r="B995" s="3097" t="s">
        <v>40</v>
      </c>
      <c r="C995" s="657">
        <v>14430.03</v>
      </c>
      <c r="D995" s="3016">
        <v>100244315</v>
      </c>
      <c r="E995" s="427"/>
      <c r="F995" s="525"/>
      <c r="G995" s="142"/>
      <c r="H995" s="677"/>
      <c r="I995" s="177"/>
      <c r="J995" s="427"/>
      <c r="K995" s="2443"/>
    </row>
    <row r="996" spans="1:11" ht="18" customHeight="1" x14ac:dyDescent="0.25">
      <c r="A996" s="1688" t="s">
        <v>2479</v>
      </c>
      <c r="B996" s="3015" t="s">
        <v>40</v>
      </c>
      <c r="C996" s="657">
        <v>9910.52</v>
      </c>
      <c r="D996" s="3016">
        <v>100359078</v>
      </c>
      <c r="E996" s="427"/>
      <c r="F996" s="525"/>
      <c r="G996" s="142"/>
      <c r="H996" s="677"/>
      <c r="I996" s="177"/>
      <c r="J996" s="427"/>
      <c r="K996" s="2443"/>
    </row>
    <row r="997" spans="1:11" ht="18" customHeight="1" x14ac:dyDescent="0.25">
      <c r="A997" s="2437" t="s">
        <v>2480</v>
      </c>
      <c r="B997" s="2043" t="s">
        <v>40</v>
      </c>
      <c r="C997" s="658">
        <v>9085.2000000000007</v>
      </c>
      <c r="D997" s="1792">
        <v>100385292</v>
      </c>
      <c r="E997" s="427"/>
      <c r="F997" s="525"/>
      <c r="G997" s="142"/>
      <c r="H997" s="677"/>
      <c r="I997" s="177"/>
      <c r="J997" s="427"/>
      <c r="K997" s="2443"/>
    </row>
    <row r="998" spans="1:11" ht="18" customHeight="1" x14ac:dyDescent="0.25">
      <c r="A998" s="2954" t="s">
        <v>2469</v>
      </c>
      <c r="B998" s="4729" t="s">
        <v>40</v>
      </c>
      <c r="C998" s="658">
        <v>13190.51</v>
      </c>
      <c r="D998" s="1792">
        <v>100462985</v>
      </c>
      <c r="E998" s="427"/>
      <c r="F998" s="525"/>
      <c r="G998" s="142"/>
      <c r="H998" s="677"/>
      <c r="I998" s="177"/>
      <c r="J998" s="427"/>
      <c r="K998" s="2443"/>
    </row>
    <row r="999" spans="1:11" ht="18" customHeight="1" x14ac:dyDescent="0.25">
      <c r="A999" s="1688" t="s">
        <v>2482</v>
      </c>
      <c r="B999" s="335" t="s">
        <v>40</v>
      </c>
      <c r="C999" s="657">
        <v>12219.05</v>
      </c>
      <c r="D999" s="457">
        <v>100524395</v>
      </c>
      <c r="E999" s="427"/>
      <c r="F999" s="525"/>
      <c r="G999" s="142"/>
      <c r="H999" s="677"/>
      <c r="I999" s="177"/>
      <c r="J999" s="427"/>
      <c r="K999" s="2443"/>
    </row>
    <row r="1000" spans="1:11" ht="18" customHeight="1" x14ac:dyDescent="0.25">
      <c r="A1000" s="3286" t="s">
        <v>2483</v>
      </c>
      <c r="B1000" s="3188" t="s">
        <v>40</v>
      </c>
      <c r="C1000" s="658">
        <v>9464.1299999999992</v>
      </c>
      <c r="D1000" s="1792">
        <v>100534255</v>
      </c>
      <c r="E1000" s="427"/>
      <c r="F1000" s="525"/>
      <c r="G1000" s="142"/>
      <c r="H1000" s="677"/>
      <c r="I1000" s="177"/>
      <c r="J1000" s="427"/>
      <c r="K1000" s="2443"/>
    </row>
    <row r="1001" spans="1:11" ht="18" customHeight="1" x14ac:dyDescent="0.25">
      <c r="A1001" s="3000" t="s">
        <v>2556</v>
      </c>
      <c r="B1001" s="335"/>
      <c r="C1001" s="658">
        <v>180.94</v>
      </c>
      <c r="D1001" s="457">
        <v>101080514</v>
      </c>
      <c r="E1001" s="427"/>
      <c r="F1001" s="525"/>
      <c r="G1001" s="142"/>
      <c r="H1001" s="677"/>
      <c r="I1001" s="177"/>
      <c r="J1001" s="427"/>
      <c r="K1001" s="2443"/>
    </row>
    <row r="1002" spans="1:11" ht="18" customHeight="1" x14ac:dyDescent="0.25">
      <c r="A1002" s="1688" t="s">
        <v>1792</v>
      </c>
      <c r="B1002" s="2047"/>
      <c r="C1002" s="658">
        <v>263.3</v>
      </c>
      <c r="D1002" s="1792">
        <v>101105819</v>
      </c>
      <c r="E1002" s="427"/>
      <c r="F1002" s="525"/>
      <c r="G1002" s="142"/>
      <c r="H1002" s="677"/>
      <c r="I1002" s="177"/>
      <c r="J1002" s="427"/>
      <c r="K1002" s="2443"/>
    </row>
    <row r="1003" spans="1:11" ht="18" customHeight="1" x14ac:dyDescent="0.25">
      <c r="A1003" s="2985" t="s">
        <v>2134</v>
      </c>
      <c r="B1003" s="2043"/>
      <c r="C1003" s="658">
        <v>63.8</v>
      </c>
      <c r="D1003" s="1792">
        <v>101125733</v>
      </c>
      <c r="E1003" s="427"/>
      <c r="F1003" s="525"/>
      <c r="G1003" s="142"/>
      <c r="H1003" s="677"/>
      <c r="I1003" s="177"/>
      <c r="J1003" s="427"/>
      <c r="K1003" s="2443"/>
    </row>
    <row r="1004" spans="1:11" ht="18" customHeight="1" x14ac:dyDescent="0.25">
      <c r="A1004" s="1692" t="s">
        <v>1793</v>
      </c>
      <c r="B1004" s="632"/>
      <c r="C1004" s="658">
        <v>68.14</v>
      </c>
      <c r="D1004" s="457">
        <v>101205426</v>
      </c>
      <c r="E1004" s="427"/>
      <c r="F1004" s="525"/>
      <c r="G1004" s="142"/>
      <c r="H1004" s="677"/>
      <c r="I1004" s="177"/>
      <c r="J1004" s="427"/>
      <c r="K1004" s="2443"/>
    </row>
    <row r="1005" spans="1:11" ht="18" customHeight="1" x14ac:dyDescent="0.25">
      <c r="A1005" s="4632" t="s">
        <v>2495</v>
      </c>
      <c r="B1005" s="335" t="s">
        <v>40</v>
      </c>
      <c r="C1005" s="658">
        <v>1716.01</v>
      </c>
      <c r="D1005" s="1754">
        <v>101400741</v>
      </c>
      <c r="E1005" s="427"/>
      <c r="F1005" s="525"/>
      <c r="G1005" s="142"/>
      <c r="H1005" s="677"/>
      <c r="I1005" s="177"/>
      <c r="J1005" s="427"/>
      <c r="K1005" s="2443"/>
    </row>
    <row r="1006" spans="1:11" ht="18" customHeight="1" x14ac:dyDescent="0.25">
      <c r="A1006" s="493" t="s">
        <v>2002</v>
      </c>
      <c r="B1006" s="1384" t="s">
        <v>40</v>
      </c>
      <c r="C1006" s="658">
        <v>1653.99</v>
      </c>
      <c r="D1006" s="457">
        <v>101400741</v>
      </c>
      <c r="E1006" s="427"/>
      <c r="F1006" s="525"/>
      <c r="G1006" s="142"/>
      <c r="H1006" s="677"/>
      <c r="I1006" s="177"/>
      <c r="J1006" s="427"/>
      <c r="K1006" s="2443"/>
    </row>
    <row r="1007" spans="1:11" ht="18" customHeight="1" x14ac:dyDescent="0.25">
      <c r="A1007" s="1387" t="s">
        <v>748</v>
      </c>
      <c r="B1007" s="335" t="s">
        <v>40</v>
      </c>
      <c r="C1007" s="659">
        <v>1351.22</v>
      </c>
      <c r="D1007" s="457">
        <v>101412307</v>
      </c>
      <c r="E1007" s="427"/>
      <c r="F1007" s="525"/>
      <c r="G1007" s="142"/>
      <c r="H1007" s="677"/>
      <c r="I1007" s="177"/>
      <c r="J1007" s="427"/>
      <c r="K1007" s="2443"/>
    </row>
    <row r="1008" spans="1:11" ht="18" customHeight="1" x14ac:dyDescent="0.25">
      <c r="A1008" s="2491" t="s">
        <v>2626</v>
      </c>
      <c r="B1008" s="573"/>
      <c r="C1008" s="659">
        <v>14.93</v>
      </c>
      <c r="D1008" s="440">
        <v>101460195</v>
      </c>
      <c r="E1008" s="427"/>
      <c r="F1008" s="525"/>
      <c r="G1008" s="575"/>
      <c r="H1008" s="719"/>
      <c r="I1008" s="177"/>
      <c r="J1008" s="427"/>
      <c r="K1008" s="2443"/>
    </row>
    <row r="1009" spans="1:11" ht="18" customHeight="1" x14ac:dyDescent="0.25">
      <c r="A1009" s="1399" t="s">
        <v>1756</v>
      </c>
      <c r="B1009" s="335" t="s">
        <v>40</v>
      </c>
      <c r="C1009" s="658">
        <v>116.23</v>
      </c>
      <c r="D1009" s="438">
        <v>101908257</v>
      </c>
      <c r="E1009" s="427"/>
      <c r="F1009" s="2474"/>
      <c r="G1009" s="575"/>
      <c r="H1009" s="719"/>
      <c r="I1009" s="177"/>
      <c r="J1009" s="427"/>
      <c r="K1009" s="2443"/>
    </row>
    <row r="1010" spans="1:11" ht="18" customHeight="1" x14ac:dyDescent="0.25">
      <c r="A1010" s="2464" t="s">
        <v>1836</v>
      </c>
      <c r="B1010" s="1384" t="s">
        <v>40</v>
      </c>
      <c r="C1010" s="680">
        <f>29.347+22</f>
        <v>51.347000000000001</v>
      </c>
      <c r="D1010" s="464">
        <v>102018252</v>
      </c>
      <c r="E1010" s="427"/>
      <c r="F1010" s="2474"/>
      <c r="G1010" s="575"/>
      <c r="H1010" s="719"/>
      <c r="I1010" s="177"/>
      <c r="J1010" s="427"/>
      <c r="K1010" s="2443"/>
    </row>
    <row r="1011" spans="1:11" ht="18" customHeight="1" x14ac:dyDescent="0.25">
      <c r="A1011" s="2496" t="s">
        <v>2152</v>
      </c>
      <c r="B1011" s="335" t="s">
        <v>40</v>
      </c>
      <c r="C1011" s="727">
        <v>34</v>
      </c>
      <c r="D1011" s="439">
        <v>102018432</v>
      </c>
      <c r="E1011" s="427"/>
      <c r="F1011" s="525"/>
      <c r="G1011" s="575"/>
      <c r="H1011" s="677"/>
      <c r="I1011" s="445"/>
      <c r="J1011" s="427"/>
      <c r="K1011" s="2443"/>
    </row>
    <row r="1012" spans="1:11" ht="18" customHeight="1" x14ac:dyDescent="0.25">
      <c r="A1012" s="1760" t="s">
        <v>1826</v>
      </c>
      <c r="B1012" s="335" t="s">
        <v>40</v>
      </c>
      <c r="C1012" s="679">
        <v>139.643</v>
      </c>
      <c r="D1012" s="455">
        <v>102080295</v>
      </c>
      <c r="E1012" s="427"/>
      <c r="F1012" s="142"/>
      <c r="G1012" s="227"/>
      <c r="H1012" s="677"/>
      <c r="I1012" s="177"/>
      <c r="J1012" s="427"/>
      <c r="K1012" s="2443"/>
    </row>
    <row r="1013" spans="1:11" ht="18" customHeight="1" x14ac:dyDescent="0.25">
      <c r="A1013" s="2454" t="s">
        <v>1835</v>
      </c>
      <c r="B1013" s="335"/>
      <c r="C1013" s="680">
        <f>11.771+22</f>
        <v>33.771000000000001</v>
      </c>
      <c r="D1013" s="462">
        <v>102085964</v>
      </c>
      <c r="E1013" s="427"/>
      <c r="F1013" s="525"/>
      <c r="G1013" s="575"/>
      <c r="H1013" s="719"/>
      <c r="I1013" s="177"/>
      <c r="J1013" s="427"/>
      <c r="K1013" s="2443"/>
    </row>
    <row r="1014" spans="1:11" ht="18" customHeight="1" x14ac:dyDescent="0.25">
      <c r="A1014" s="2498" t="s">
        <v>2624</v>
      </c>
      <c r="B1014" s="335" t="s">
        <v>40</v>
      </c>
      <c r="C1014" s="680">
        <v>46</v>
      </c>
      <c r="D1014" s="464">
        <v>102360844</v>
      </c>
      <c r="E1014" s="427"/>
      <c r="F1014" s="525"/>
      <c r="G1014" s="575"/>
      <c r="H1014" s="719"/>
      <c r="I1014" s="177"/>
      <c r="J1014" s="427"/>
      <c r="K1014" s="2443"/>
    </row>
    <row r="1015" spans="1:11" ht="18" customHeight="1" x14ac:dyDescent="0.25">
      <c r="A1015" s="494" t="s">
        <v>1711</v>
      </c>
      <c r="B1015" s="335" t="s">
        <v>40</v>
      </c>
      <c r="C1015" s="679">
        <v>10.5</v>
      </c>
      <c r="D1015" s="457">
        <v>102491288</v>
      </c>
      <c r="E1015" s="427"/>
      <c r="F1015" s="525"/>
      <c r="G1015" s="575"/>
      <c r="H1015" s="719"/>
      <c r="I1015" s="177"/>
      <c r="J1015" s="427"/>
      <c r="K1015" s="2443"/>
    </row>
    <row r="1016" spans="1:11" ht="18" customHeight="1" x14ac:dyDescent="0.25">
      <c r="A1016" s="511" t="s">
        <v>2026</v>
      </c>
      <c r="B1016" s="335"/>
      <c r="C1016" s="2089">
        <v>64.2</v>
      </c>
      <c r="D1016" s="457">
        <v>102709874</v>
      </c>
      <c r="E1016" s="427"/>
      <c r="F1016" s="525"/>
      <c r="G1016" s="575"/>
      <c r="H1016" s="669"/>
      <c r="I1016" s="177"/>
      <c r="J1016" s="427"/>
      <c r="K1016" s="2443"/>
    </row>
    <row r="1017" spans="1:11" ht="18" customHeight="1" x14ac:dyDescent="0.25">
      <c r="A1017" s="1501" t="s">
        <v>1102</v>
      </c>
      <c r="B1017" s="1364" t="s">
        <v>40</v>
      </c>
      <c r="C1017" s="1401">
        <v>5</v>
      </c>
      <c r="D1017" s="464">
        <v>102795167</v>
      </c>
      <c r="E1017" s="427"/>
      <c r="F1017" s="525"/>
      <c r="G1017" s="575"/>
      <c r="H1017" s="669"/>
      <c r="I1017" s="177"/>
      <c r="J1017" s="427"/>
      <c r="K1017" s="2443"/>
    </row>
    <row r="1018" spans="1:11" ht="18" customHeight="1" x14ac:dyDescent="0.25">
      <c r="A1018" s="1390" t="s">
        <v>1101</v>
      </c>
      <c r="B1018" s="1397"/>
      <c r="C1018" s="1401">
        <v>1273.78</v>
      </c>
      <c r="D1018" s="464">
        <v>103757277</v>
      </c>
      <c r="E1018" s="427"/>
      <c r="F1018" s="525"/>
      <c r="G1018" s="575"/>
      <c r="H1018" s="669"/>
      <c r="I1018" s="177"/>
      <c r="J1018" s="427"/>
      <c r="K1018" s="2443"/>
    </row>
    <row r="1019" spans="1:11" ht="18" customHeight="1" x14ac:dyDescent="0.25">
      <c r="A1019" s="498" t="s">
        <v>958</v>
      </c>
      <c r="B1019" s="643"/>
      <c r="C1019" s="658">
        <v>320</v>
      </c>
      <c r="D1019" s="440">
        <v>103804011</v>
      </c>
      <c r="E1019" s="427"/>
      <c r="F1019" s="525"/>
      <c r="G1019" s="575"/>
      <c r="H1019" s="719"/>
      <c r="I1019" s="177"/>
      <c r="J1019" s="427"/>
      <c r="K1019" s="2443"/>
    </row>
    <row r="1020" spans="1:11" ht="18" customHeight="1" x14ac:dyDescent="0.25">
      <c r="A1020" s="497" t="s">
        <v>1833</v>
      </c>
      <c r="B1020" s="601" t="s">
        <v>40</v>
      </c>
      <c r="C1020" s="657">
        <v>158.55699999999999</v>
      </c>
      <c r="D1020" s="441">
        <v>104043094</v>
      </c>
      <c r="E1020" s="427"/>
      <c r="F1020" s="142"/>
      <c r="G1020" s="448"/>
      <c r="H1020" s="719"/>
      <c r="I1020" s="177"/>
      <c r="J1020" s="427"/>
      <c r="K1020" s="2443"/>
    </row>
    <row r="1021" spans="1:11" ht="18" customHeight="1" x14ac:dyDescent="0.25">
      <c r="A1021" s="494" t="s">
        <v>1758</v>
      </c>
      <c r="B1021" s="572"/>
      <c r="C1021" s="658">
        <v>327.3</v>
      </c>
      <c r="D1021" s="440">
        <v>104187553</v>
      </c>
      <c r="E1021" s="427"/>
      <c r="F1021" s="538"/>
      <c r="G1021" s="575"/>
      <c r="H1021" s="719"/>
      <c r="I1021" s="177"/>
      <c r="J1021" s="427"/>
      <c r="K1021" s="2443"/>
    </row>
    <row r="1022" spans="1:11" ht="18" customHeight="1" x14ac:dyDescent="0.25">
      <c r="A1022" s="1410" t="s">
        <v>2623</v>
      </c>
      <c r="B1022" s="335"/>
      <c r="C1022" s="659">
        <v>2009</v>
      </c>
      <c r="D1022" s="438">
        <v>104331623</v>
      </c>
      <c r="E1022" s="427"/>
      <c r="F1022" s="525"/>
      <c r="G1022" s="575"/>
      <c r="H1022" s="669"/>
      <c r="I1022" s="177"/>
      <c r="J1022" s="427"/>
      <c r="K1022" s="2443"/>
    </row>
    <row r="1023" spans="1:11" ht="18" customHeight="1" x14ac:dyDescent="0.25">
      <c r="A1023" s="497" t="s">
        <v>1768</v>
      </c>
      <c r="B1023" s="573"/>
      <c r="C1023" s="659">
        <v>30</v>
      </c>
      <c r="D1023" s="440">
        <v>104786602</v>
      </c>
      <c r="E1023" s="427"/>
      <c r="F1023" s="525"/>
      <c r="G1023" s="448"/>
      <c r="H1023" s="719"/>
      <c r="I1023" s="177"/>
      <c r="J1023" s="427"/>
      <c r="K1023" s="2443"/>
    </row>
    <row r="1024" spans="1:11" ht="18" customHeight="1" x14ac:dyDescent="0.25">
      <c r="A1024" s="497" t="s">
        <v>2135</v>
      </c>
      <c r="B1024" s="644" t="s">
        <v>40</v>
      </c>
      <c r="C1024" s="658">
        <v>385.1</v>
      </c>
      <c r="D1024" s="239">
        <v>105233729</v>
      </c>
      <c r="E1024" s="427"/>
      <c r="F1024" s="525"/>
      <c r="G1024" s="575"/>
      <c r="H1024" s="719"/>
      <c r="I1024" s="177"/>
      <c r="J1024" s="427"/>
      <c r="K1024" s="2443"/>
    </row>
    <row r="1025" spans="1:11" ht="18" customHeight="1" x14ac:dyDescent="0.25">
      <c r="A1025" s="1465" t="s">
        <v>1594</v>
      </c>
      <c r="B1025" s="585" t="s">
        <v>40</v>
      </c>
      <c r="C1025" s="658">
        <v>29.2</v>
      </c>
      <c r="D1025" s="438">
        <v>105457822</v>
      </c>
      <c r="E1025" s="427"/>
      <c r="F1025" s="525"/>
      <c r="G1025" s="575"/>
      <c r="H1025" s="669"/>
      <c r="I1025" s="177"/>
      <c r="J1025" s="427"/>
      <c r="K1025" s="2443"/>
    </row>
    <row r="1026" spans="1:11" ht="18" customHeight="1" x14ac:dyDescent="0.25">
      <c r="A1026" s="1469" t="s">
        <v>1959</v>
      </c>
      <c r="B1026" s="1468"/>
      <c r="C1026" s="658">
        <v>2</v>
      </c>
      <c r="D1026" s="440">
        <v>105648300</v>
      </c>
      <c r="E1026" s="427"/>
      <c r="F1026" s="525"/>
      <c r="G1026" s="449"/>
      <c r="H1026" s="669"/>
      <c r="I1026" s="177"/>
      <c r="J1026" s="427"/>
      <c r="K1026" s="2443"/>
    </row>
    <row r="1027" spans="1:11" ht="18" customHeight="1" x14ac:dyDescent="0.25">
      <c r="A1027" s="2956" t="s">
        <v>2558</v>
      </c>
      <c r="B1027" s="579"/>
      <c r="C1027" s="658">
        <v>739.2</v>
      </c>
      <c r="D1027" s="438">
        <v>105660312</v>
      </c>
      <c r="E1027" s="427"/>
      <c r="F1027" s="525"/>
      <c r="G1027" s="561"/>
      <c r="H1027" s="677"/>
      <c r="I1027" s="177"/>
      <c r="J1027" s="427"/>
      <c r="K1027" s="2443"/>
    </row>
    <row r="1028" spans="1:11" ht="18" customHeight="1" x14ac:dyDescent="0.25">
      <c r="A1028" s="493" t="s">
        <v>578</v>
      </c>
      <c r="B1028" s="579" t="s">
        <v>40</v>
      </c>
      <c r="C1028" s="668">
        <v>98.31</v>
      </c>
      <c r="D1028" s="464">
        <v>105764814</v>
      </c>
      <c r="E1028" s="429"/>
      <c r="F1028" s="525"/>
      <c r="G1028" s="449"/>
      <c r="H1028" s="669"/>
      <c r="I1028" s="177"/>
      <c r="J1028" s="427"/>
      <c r="K1028" s="2443"/>
    </row>
    <row r="1029" spans="1:11" ht="18" customHeight="1" x14ac:dyDescent="0.25">
      <c r="A1029" s="495" t="s">
        <v>1759</v>
      </c>
      <c r="B1029" s="573"/>
      <c r="C1029" s="659">
        <v>94</v>
      </c>
      <c r="D1029" s="438">
        <v>105783388</v>
      </c>
      <c r="E1029" s="427"/>
      <c r="F1029" s="525"/>
      <c r="G1029" s="449"/>
      <c r="H1029" s="669"/>
      <c r="I1029" s="177"/>
      <c r="J1029" s="427"/>
      <c r="K1029" s="2443"/>
    </row>
    <row r="1030" spans="1:11" ht="18" customHeight="1" x14ac:dyDescent="0.25">
      <c r="A1030" s="497" t="s">
        <v>1767</v>
      </c>
      <c r="B1030" s="566"/>
      <c r="C1030" s="658">
        <v>29</v>
      </c>
      <c r="D1030" s="440">
        <v>105945365</v>
      </c>
      <c r="E1030" s="427"/>
      <c r="F1030" s="525"/>
      <c r="G1030" s="448"/>
      <c r="H1030" s="719"/>
      <c r="I1030" s="177"/>
      <c r="J1030" s="427"/>
      <c r="K1030" s="2443"/>
    </row>
    <row r="1031" spans="1:11" ht="18" customHeight="1" x14ac:dyDescent="0.25">
      <c r="A1031" s="511" t="s">
        <v>2625</v>
      </c>
      <c r="B1031" s="335" t="s">
        <v>40</v>
      </c>
      <c r="C1031" s="658">
        <v>24.59</v>
      </c>
      <c r="D1031" s="464">
        <v>106039451</v>
      </c>
      <c r="E1031" s="427"/>
      <c r="F1031" s="525"/>
      <c r="G1031" s="448"/>
      <c r="H1031" s="719"/>
      <c r="I1031" s="177"/>
      <c r="J1031" s="427"/>
      <c r="K1031" s="2443"/>
    </row>
    <row r="1032" spans="1:11" ht="18" customHeight="1" x14ac:dyDescent="0.25">
      <c r="A1032" s="2975" t="s">
        <v>2494</v>
      </c>
      <c r="B1032" s="335" t="s">
        <v>40</v>
      </c>
      <c r="C1032" s="658">
        <v>80345.5</v>
      </c>
      <c r="D1032" s="438">
        <v>106354117</v>
      </c>
      <c r="E1032" s="427"/>
      <c r="F1032" s="142"/>
      <c r="G1032" s="448"/>
      <c r="H1032" s="719"/>
      <c r="I1032" s="177"/>
      <c r="J1032" s="427"/>
      <c r="K1032" s="2443"/>
    </row>
    <row r="1033" spans="1:11" ht="18" customHeight="1" x14ac:dyDescent="0.25">
      <c r="A1033" s="1390" t="s">
        <v>1790</v>
      </c>
      <c r="B1033" s="566"/>
      <c r="C1033" s="657">
        <v>53.52</v>
      </c>
      <c r="D1033" s="464">
        <v>106420864</v>
      </c>
      <c r="E1033" s="427"/>
      <c r="F1033" s="142"/>
      <c r="G1033" s="448"/>
      <c r="H1033" s="719"/>
      <c r="I1033" s="177"/>
      <c r="J1033" s="427"/>
      <c r="K1033" s="2443"/>
    </row>
    <row r="1034" spans="1:11" ht="18" customHeight="1" x14ac:dyDescent="0.25">
      <c r="A1034" s="2975" t="s">
        <v>2190</v>
      </c>
      <c r="B1034" s="335" t="s">
        <v>40</v>
      </c>
      <c r="C1034" s="658">
        <v>77.099999999999994</v>
      </c>
      <c r="D1034" s="1754">
        <v>106837860</v>
      </c>
      <c r="E1034" s="427"/>
      <c r="F1034" s="142"/>
      <c r="G1034" s="448"/>
      <c r="H1034" s="719"/>
      <c r="I1034" s="177"/>
      <c r="J1034" s="427"/>
      <c r="K1034" s="2443"/>
    </row>
    <row r="1035" spans="1:11" ht="18" customHeight="1" x14ac:dyDescent="0.25">
      <c r="A1035" s="523" t="s">
        <v>1100</v>
      </c>
      <c r="B1035" s="571" t="s">
        <v>40</v>
      </c>
      <c r="C1035" s="658">
        <v>31.4</v>
      </c>
      <c r="D1035" s="455">
        <v>106839872</v>
      </c>
      <c r="E1035" s="427"/>
      <c r="F1035" s="525"/>
      <c r="G1035" s="575"/>
      <c r="H1035" s="677"/>
      <c r="I1035" s="177"/>
      <c r="J1035" s="427"/>
      <c r="K1035" s="2443"/>
    </row>
    <row r="1036" spans="1:11" ht="18" customHeight="1" x14ac:dyDescent="0.25">
      <c r="A1036" s="555" t="s">
        <v>503</v>
      </c>
      <c r="B1036" s="566"/>
      <c r="C1036" s="658"/>
      <c r="D1036" s="476">
        <v>107213014</v>
      </c>
      <c r="E1036" s="427"/>
      <c r="F1036" s="525"/>
      <c r="G1036" s="575"/>
      <c r="H1036" s="677"/>
      <c r="I1036" s="177"/>
      <c r="J1036" s="427"/>
      <c r="K1036" s="2443"/>
    </row>
    <row r="1037" spans="1:11" ht="18" customHeight="1" x14ac:dyDescent="0.25">
      <c r="A1037" s="1437" t="s">
        <v>1834</v>
      </c>
      <c r="B1037" s="335" t="s">
        <v>40</v>
      </c>
      <c r="C1037" s="658">
        <v>29.347000000000001</v>
      </c>
      <c r="D1037" s="476">
        <v>107213042</v>
      </c>
      <c r="E1037" s="427"/>
      <c r="F1037" s="525"/>
      <c r="G1037" s="575"/>
      <c r="H1037" s="677"/>
      <c r="I1037" s="177"/>
      <c r="J1037" s="427"/>
      <c r="K1037" s="2443"/>
    </row>
    <row r="1038" spans="1:11" ht="18" customHeight="1" x14ac:dyDescent="0.25">
      <c r="A1038" s="511" t="s">
        <v>921</v>
      </c>
      <c r="B1038" s="566"/>
      <c r="C1038" s="658">
        <v>11.771000000000001</v>
      </c>
      <c r="D1038" s="476">
        <v>107294039</v>
      </c>
      <c r="E1038" s="427"/>
      <c r="F1038" s="525"/>
      <c r="G1038" s="575"/>
      <c r="H1038" s="677"/>
      <c r="I1038" s="177"/>
      <c r="J1038" s="427"/>
      <c r="K1038" s="2443"/>
    </row>
    <row r="1039" spans="1:11" ht="18" customHeight="1" x14ac:dyDescent="0.25">
      <c r="A1039" s="1457" t="s">
        <v>1846</v>
      </c>
      <c r="B1039" s="571" t="s">
        <v>40</v>
      </c>
      <c r="C1039" s="658"/>
      <c r="D1039" s="463" t="s">
        <v>446</v>
      </c>
      <c r="E1039" s="427"/>
      <c r="F1039" s="525"/>
      <c r="G1039" s="448"/>
      <c r="H1039" s="719"/>
      <c r="I1039" s="177"/>
      <c r="J1039" s="427"/>
      <c r="K1039" s="2443"/>
    </row>
    <row r="1040" spans="1:11" ht="18" customHeight="1" x14ac:dyDescent="0.25">
      <c r="A1040" s="2448" t="s">
        <v>1847</v>
      </c>
      <c r="B1040" s="335" t="s">
        <v>40</v>
      </c>
      <c r="C1040" s="658"/>
      <c r="D1040" s="453" t="s">
        <v>481</v>
      </c>
      <c r="E1040" s="427"/>
      <c r="F1040" s="142"/>
      <c r="G1040" s="448"/>
      <c r="H1040" s="719"/>
      <c r="I1040" s="177"/>
      <c r="J1040" s="427"/>
      <c r="K1040" s="2443"/>
    </row>
    <row r="1041" spans="1:11" ht="18" customHeight="1" x14ac:dyDescent="0.25">
      <c r="A1041" s="446"/>
      <c r="B1041" s="446"/>
      <c r="C1041" s="2"/>
      <c r="D1041" s="446"/>
      <c r="E1041" s="429"/>
      <c r="F1041" s="142"/>
      <c r="G1041" s="142"/>
      <c r="H1041" s="366"/>
      <c r="I1041" s="452"/>
      <c r="J1041" s="427"/>
      <c r="K1041" s="2443"/>
    </row>
    <row r="1042" spans="1:11" ht="18" customHeight="1" x14ac:dyDescent="0.25">
      <c r="A1042" s="140" t="s">
        <v>2744</v>
      </c>
      <c r="B1042" s="140"/>
      <c r="C1042" s="2"/>
      <c r="D1042" s="446"/>
      <c r="E1042" s="429"/>
      <c r="F1042" s="142"/>
      <c r="G1042" s="142"/>
      <c r="H1042" s="366"/>
      <c r="I1042" s="452"/>
      <c r="J1042" s="427"/>
      <c r="K1042" s="2443"/>
    </row>
    <row r="1043" spans="1:11" ht="18" customHeight="1" x14ac:dyDescent="0.25">
      <c r="A1043" s="140" t="s">
        <v>2745</v>
      </c>
      <c r="B1043" s="140"/>
      <c r="C1043" s="673"/>
      <c r="D1043" s="177"/>
      <c r="E1043" s="429"/>
      <c r="F1043" s="481"/>
      <c r="G1043" s="481"/>
      <c r="H1043" s="716"/>
      <c r="I1043" s="481"/>
      <c r="J1043" s="429"/>
      <c r="K1043" s="2443"/>
    </row>
    <row r="1044" spans="1:11" ht="18" customHeight="1" x14ac:dyDescent="0.25">
      <c r="A1044" s="142" t="s">
        <v>2746</v>
      </c>
      <c r="B1044" s="142"/>
      <c r="C1044" s="673"/>
      <c r="D1044" s="177"/>
      <c r="E1044" s="429"/>
      <c r="F1044" s="478"/>
      <c r="G1044" s="478"/>
      <c r="H1044" s="711"/>
      <c r="I1044" s="478"/>
      <c r="J1044" s="429"/>
      <c r="K1044" s="2443"/>
    </row>
    <row r="1045" spans="1:11" ht="18" customHeight="1" x14ac:dyDescent="0.25">
      <c r="A1045" s="449"/>
      <c r="B1045" s="142"/>
      <c r="C1045" s="673"/>
      <c r="D1045" s="177"/>
      <c r="E1045" s="429"/>
      <c r="F1045" s="478"/>
      <c r="G1045" s="478"/>
      <c r="H1045" s="711"/>
      <c r="I1045" s="478"/>
      <c r="J1045" s="430"/>
      <c r="K1045" s="2443"/>
    </row>
    <row r="1046" spans="1:11" ht="24.75" customHeight="1" x14ac:dyDescent="0.25">
      <c r="A1046" s="650" t="s">
        <v>1619</v>
      </c>
      <c r="B1046" s="446"/>
      <c r="C1046" s="2"/>
      <c r="D1046" s="446"/>
      <c r="E1046" s="429"/>
      <c r="F1046" s="478"/>
      <c r="G1046" s="478"/>
      <c r="H1046" s="711"/>
      <c r="I1046" s="478"/>
      <c r="J1046" s="423"/>
      <c r="K1046" s="2443"/>
    </row>
    <row r="1047" spans="1:11" ht="18" customHeight="1" thickBot="1" x14ac:dyDescent="0.3">
      <c r="A1047" s="447"/>
      <c r="B1047" s="447"/>
      <c r="C1047" s="424"/>
      <c r="D1047" s="447"/>
      <c r="E1047" s="431"/>
      <c r="F1047" s="479"/>
      <c r="G1047" s="479"/>
      <c r="H1047" s="712"/>
      <c r="I1047" s="479"/>
      <c r="J1047" s="423"/>
      <c r="K1047" s="2443"/>
    </row>
    <row r="1048" spans="1:11" ht="23.1" customHeight="1" thickTop="1" x14ac:dyDescent="0.25">
      <c r="A1048" s="448"/>
      <c r="B1048" s="448"/>
      <c r="C1048" s="426"/>
      <c r="D1048" s="448"/>
      <c r="E1048" s="432"/>
      <c r="F1048" s="478"/>
      <c r="G1048" s="478"/>
      <c r="H1048" s="711"/>
      <c r="I1048" s="478"/>
      <c r="J1048" s="423"/>
      <c r="K1048" s="2443"/>
    </row>
    <row r="1049" spans="1:11" ht="4.5" customHeight="1" x14ac:dyDescent="0.25">
      <c r="A1049" s="525"/>
      <c r="B1049" s="449"/>
      <c r="C1049" s="673"/>
      <c r="D1049" s="177"/>
      <c r="E1049" s="429"/>
      <c r="F1049" s="525"/>
      <c r="G1049" s="593"/>
      <c r="H1049" s="673"/>
      <c r="I1049" s="177"/>
      <c r="J1049" s="423"/>
      <c r="K1049" s="2443"/>
    </row>
    <row r="1050" spans="1:11" ht="24" customHeight="1" x14ac:dyDescent="0.25">
      <c r="A1050" s="1457" t="s">
        <v>2796</v>
      </c>
      <c r="B1050" s="635"/>
      <c r="C1050" s="2430" t="s">
        <v>480</v>
      </c>
      <c r="D1050" s="2204" t="s">
        <v>2793</v>
      </c>
      <c r="E1050" s="429"/>
      <c r="F1050" s="1437" t="s">
        <v>2795</v>
      </c>
      <c r="G1050" s="611"/>
      <c r="H1050" s="2430" t="s">
        <v>480</v>
      </c>
      <c r="I1050" s="2204" t="s">
        <v>2794</v>
      </c>
      <c r="J1050" s="423"/>
      <c r="K1050" s="2443"/>
    </row>
    <row r="1051" spans="1:11" ht="18" customHeight="1" x14ac:dyDescent="0.25">
      <c r="A1051" s="2976" t="s">
        <v>2642</v>
      </c>
      <c r="B1051" s="612"/>
      <c r="C1051" s="667">
        <v>442.2</v>
      </c>
      <c r="D1051" s="465">
        <v>4898566</v>
      </c>
      <c r="E1051" s="427"/>
      <c r="F1051" s="2976" t="s">
        <v>2642</v>
      </c>
      <c r="G1051" s="612"/>
      <c r="H1051" s="670">
        <v>1351.4</v>
      </c>
      <c r="I1051" s="3074">
        <v>13860179</v>
      </c>
      <c r="J1051" s="429"/>
      <c r="K1051" s="2443"/>
    </row>
    <row r="1052" spans="1:11" ht="18" customHeight="1" x14ac:dyDescent="0.25">
      <c r="A1052" s="2966" t="s">
        <v>2628</v>
      </c>
      <c r="B1052" s="1784"/>
      <c r="C1052" s="658">
        <v>456</v>
      </c>
      <c r="D1052" s="1792">
        <v>4901797</v>
      </c>
      <c r="E1052" s="427"/>
      <c r="F1052" s="2966" t="s">
        <v>2628</v>
      </c>
      <c r="G1052" s="1784"/>
      <c r="H1052" s="658">
        <v>1458.2</v>
      </c>
      <c r="I1052" s="1792">
        <v>13869067</v>
      </c>
      <c r="J1052" s="423"/>
      <c r="K1052" s="2443"/>
    </row>
    <row r="1053" spans="1:11" ht="18" customHeight="1" x14ac:dyDescent="0.25">
      <c r="A1053" s="516" t="s">
        <v>2574</v>
      </c>
      <c r="B1053" s="1569"/>
      <c r="C1053" s="657">
        <v>130.1</v>
      </c>
      <c r="D1053" s="457">
        <v>5114915</v>
      </c>
      <c r="E1053" s="427"/>
      <c r="F1053" s="516" t="s">
        <v>2574</v>
      </c>
      <c r="G1053" s="1569"/>
      <c r="H1053" s="657">
        <v>392.6</v>
      </c>
      <c r="I1053" s="457">
        <v>13975222</v>
      </c>
      <c r="J1053" s="427"/>
      <c r="K1053" s="2443"/>
    </row>
    <row r="1054" spans="1:11" ht="18" customHeight="1" x14ac:dyDescent="0.25">
      <c r="A1054" s="3290" t="s">
        <v>2559</v>
      </c>
      <c r="B1054" s="3194"/>
      <c r="C1054" s="3191">
        <v>91.6</v>
      </c>
      <c r="D1054" s="3195">
        <v>5125763</v>
      </c>
      <c r="E1054" s="427"/>
      <c r="F1054" s="3290" t="s">
        <v>2559</v>
      </c>
      <c r="G1054" s="3194"/>
      <c r="H1054" s="3191">
        <v>271.10000000000002</v>
      </c>
      <c r="I1054" s="3195">
        <v>14039927</v>
      </c>
      <c r="J1054" s="427"/>
      <c r="K1054" s="2443"/>
    </row>
    <row r="1055" spans="1:11" ht="18" customHeight="1" x14ac:dyDescent="0.25">
      <c r="A1055" s="2974" t="s">
        <v>2556</v>
      </c>
      <c r="B1055" s="335"/>
      <c r="C1055" s="658">
        <v>14.67</v>
      </c>
      <c r="D1055" s="3016">
        <v>5210819</v>
      </c>
      <c r="E1055" s="427"/>
      <c r="F1055" s="2974" t="s">
        <v>2556</v>
      </c>
      <c r="G1055" s="335"/>
      <c r="H1055" s="658">
        <v>45.9</v>
      </c>
      <c r="I1055" s="3016">
        <v>14240896</v>
      </c>
      <c r="J1055" s="427"/>
      <c r="K1055" s="2443"/>
    </row>
    <row r="1056" spans="1:11" ht="18" customHeight="1" x14ac:dyDescent="0.25">
      <c r="A1056" s="3032" t="s">
        <v>1792</v>
      </c>
      <c r="B1056" s="3102"/>
      <c r="C1056" s="657">
        <v>8.73</v>
      </c>
      <c r="D1056" s="3016">
        <v>5692994</v>
      </c>
      <c r="E1056" s="427"/>
      <c r="F1056" s="3032" t="s">
        <v>1792</v>
      </c>
      <c r="G1056" s="3102"/>
      <c r="H1056" s="657">
        <v>21.95</v>
      </c>
      <c r="I1056" s="3016">
        <v>14478940</v>
      </c>
      <c r="J1056" s="427"/>
      <c r="K1056" s="2443"/>
    </row>
    <row r="1057" spans="1:11" ht="18" customHeight="1" x14ac:dyDescent="0.25">
      <c r="A1057" s="1688" t="s">
        <v>1758</v>
      </c>
      <c r="B1057" s="3072"/>
      <c r="C1057" s="657">
        <v>18.600000000000001</v>
      </c>
      <c r="D1057" s="3016">
        <v>6278402</v>
      </c>
      <c r="E1057" s="427"/>
      <c r="F1057" s="1692" t="s">
        <v>1113</v>
      </c>
      <c r="G1057" s="3015"/>
      <c r="H1057" s="657">
        <v>5</v>
      </c>
      <c r="I1057" s="3016">
        <v>14622822</v>
      </c>
      <c r="J1057" s="427"/>
      <c r="K1057" s="2443"/>
    </row>
    <row r="1058" spans="1:11" ht="18" customHeight="1" x14ac:dyDescent="0.25">
      <c r="A1058" s="2974" t="s">
        <v>2469</v>
      </c>
      <c r="B1058" s="3097" t="s">
        <v>40</v>
      </c>
      <c r="C1058" s="657">
        <v>1452.52</v>
      </c>
      <c r="D1058" s="3016">
        <v>6289659</v>
      </c>
      <c r="E1058" s="427"/>
      <c r="F1058" s="1688" t="s">
        <v>1108</v>
      </c>
      <c r="G1058" s="3015"/>
      <c r="H1058" s="2856"/>
      <c r="I1058" s="3080">
        <v>14819738</v>
      </c>
      <c r="J1058" s="427"/>
      <c r="K1058" s="2443"/>
    </row>
    <row r="1059" spans="1:11" ht="18" customHeight="1" x14ac:dyDescent="0.25">
      <c r="A1059" s="4749" t="s">
        <v>2792</v>
      </c>
      <c r="B1059" s="2850" t="s">
        <v>40</v>
      </c>
      <c r="C1059" s="658">
        <v>1393.2</v>
      </c>
      <c r="D1059" s="1792">
        <v>6301115</v>
      </c>
      <c r="E1059" s="427"/>
      <c r="F1059" s="4749" t="s">
        <v>2792</v>
      </c>
      <c r="G1059" s="2850" t="s">
        <v>40</v>
      </c>
      <c r="H1059" s="658">
        <v>4067.4</v>
      </c>
      <c r="I1059" s="1792">
        <v>14942855</v>
      </c>
      <c r="J1059" s="427"/>
      <c r="K1059" s="2443"/>
    </row>
    <row r="1060" spans="1:11" ht="18" customHeight="1" x14ac:dyDescent="0.25">
      <c r="A1060" s="2796" t="s">
        <v>2478</v>
      </c>
      <c r="B1060" s="4729" t="s">
        <v>40</v>
      </c>
      <c r="C1060" s="658">
        <v>1585.33</v>
      </c>
      <c r="D1060" s="1792">
        <v>6317341</v>
      </c>
      <c r="E1060" s="427"/>
      <c r="F1060" s="2954" t="s">
        <v>2469</v>
      </c>
      <c r="G1060" s="4729" t="s">
        <v>40</v>
      </c>
      <c r="H1060" s="658">
        <v>3839.97</v>
      </c>
      <c r="I1060" s="1792">
        <v>14959386</v>
      </c>
      <c r="J1060" s="427"/>
      <c r="K1060" s="2443"/>
    </row>
    <row r="1061" spans="1:11" ht="18" customHeight="1" x14ac:dyDescent="0.25">
      <c r="A1061" s="493" t="s">
        <v>2502</v>
      </c>
      <c r="B1061" s="4736" t="s">
        <v>40</v>
      </c>
      <c r="C1061" s="657">
        <v>1336.67</v>
      </c>
      <c r="D1061" s="466">
        <v>6318622</v>
      </c>
      <c r="E1061" s="427"/>
      <c r="F1061" s="1466" t="s">
        <v>2502</v>
      </c>
      <c r="G1061" s="4736" t="s">
        <v>40</v>
      </c>
      <c r="H1061" s="657">
        <v>3657.58</v>
      </c>
      <c r="I1061" s="466">
        <v>14987275</v>
      </c>
      <c r="J1061" s="427"/>
      <c r="K1061" s="2443"/>
    </row>
    <row r="1062" spans="1:11" ht="18" customHeight="1" x14ac:dyDescent="0.25">
      <c r="A1062" s="1688" t="s">
        <v>1759</v>
      </c>
      <c r="B1062" s="2050"/>
      <c r="C1062" s="659">
        <v>3</v>
      </c>
      <c r="D1062" s="1792">
        <v>6352404</v>
      </c>
      <c r="E1062" s="427"/>
      <c r="F1062" s="1688" t="s">
        <v>2478</v>
      </c>
      <c r="G1062" s="2850" t="s">
        <v>40</v>
      </c>
      <c r="H1062" s="658">
        <v>4226.22</v>
      </c>
      <c r="I1062" s="1792">
        <v>14988603</v>
      </c>
      <c r="J1062" s="427"/>
      <c r="K1062" s="2443"/>
    </row>
    <row r="1063" spans="1:11" ht="18" customHeight="1" x14ac:dyDescent="0.25">
      <c r="A1063" s="1390" t="s">
        <v>2483</v>
      </c>
      <c r="B1063" s="2043" t="s">
        <v>40</v>
      </c>
      <c r="C1063" s="697">
        <v>1042.74</v>
      </c>
      <c r="D1063" s="1793">
        <v>6359973</v>
      </c>
      <c r="E1063" s="427"/>
      <c r="F1063" s="1390" t="s">
        <v>2482</v>
      </c>
      <c r="G1063" s="2043" t="s">
        <v>40</v>
      </c>
      <c r="H1063" s="658">
        <v>3504.23</v>
      </c>
      <c r="I1063" s="1792">
        <v>15061668</v>
      </c>
      <c r="J1063" s="427"/>
      <c r="K1063" s="2443"/>
    </row>
    <row r="1064" spans="1:11" ht="18" customHeight="1" x14ac:dyDescent="0.25">
      <c r="A1064" s="3286" t="s">
        <v>2482</v>
      </c>
      <c r="B1064" s="3188" t="s">
        <v>40</v>
      </c>
      <c r="C1064" s="698">
        <v>1363</v>
      </c>
      <c r="D1064" s="466">
        <v>6360494</v>
      </c>
      <c r="E1064" s="427"/>
      <c r="F1064" s="1466" t="s">
        <v>2483</v>
      </c>
      <c r="G1064" s="613" t="s">
        <v>40</v>
      </c>
      <c r="H1064" s="657">
        <v>2794.37</v>
      </c>
      <c r="I1064" s="466">
        <v>15065353</v>
      </c>
      <c r="J1064" s="427"/>
      <c r="K1064" s="2443"/>
    </row>
    <row r="1065" spans="1:11" ht="18" customHeight="1" x14ac:dyDescent="0.25">
      <c r="A1065" s="1404" t="s">
        <v>1793</v>
      </c>
      <c r="B1065" s="1701"/>
      <c r="C1065" s="657">
        <v>5.2</v>
      </c>
      <c r="D1065" s="466">
        <v>6382363</v>
      </c>
      <c r="E1065" s="427"/>
      <c r="F1065" s="3286" t="s">
        <v>2479</v>
      </c>
      <c r="G1065" s="3188" t="s">
        <v>40</v>
      </c>
      <c r="H1065" s="657">
        <v>3045.97</v>
      </c>
      <c r="I1065" s="466">
        <v>15111443</v>
      </c>
      <c r="J1065" s="427"/>
      <c r="K1065" s="2443"/>
    </row>
    <row r="1066" spans="1:11" ht="18" customHeight="1" x14ac:dyDescent="0.25">
      <c r="A1066" s="1488" t="s">
        <v>2479</v>
      </c>
      <c r="B1066" s="1384" t="s">
        <v>40</v>
      </c>
      <c r="C1066" s="658">
        <v>956.74</v>
      </c>
      <c r="D1066" s="1566">
        <v>6387010</v>
      </c>
      <c r="E1066" s="429"/>
      <c r="F1066" s="4653" t="s">
        <v>2495</v>
      </c>
      <c r="G1066" s="1384" t="s">
        <v>40</v>
      </c>
      <c r="H1066" s="658">
        <v>505.77</v>
      </c>
      <c r="I1066" s="1792">
        <v>15638383</v>
      </c>
      <c r="J1066" s="427"/>
      <c r="K1066" s="2443"/>
    </row>
    <row r="1067" spans="1:11" ht="18" customHeight="1" x14ac:dyDescent="0.25">
      <c r="A1067" s="1469" t="s">
        <v>2026</v>
      </c>
      <c r="B1067" s="335"/>
      <c r="C1067" s="658">
        <v>12.9</v>
      </c>
      <c r="D1067" s="457">
        <v>6390460</v>
      </c>
      <c r="E1067" s="427"/>
      <c r="F1067" s="1466" t="s">
        <v>2002</v>
      </c>
      <c r="G1067" s="613" t="s">
        <v>40</v>
      </c>
      <c r="H1067" s="657">
        <v>387.44</v>
      </c>
      <c r="I1067" s="466">
        <v>15638584</v>
      </c>
      <c r="J1067" s="427"/>
      <c r="K1067" s="2443"/>
    </row>
    <row r="1068" spans="1:11" ht="18" customHeight="1" x14ac:dyDescent="0.25">
      <c r="A1068" s="1469" t="s">
        <v>1108</v>
      </c>
      <c r="B1068" s="636"/>
      <c r="C1068" s="658"/>
      <c r="D1068" s="1504">
        <v>6413836</v>
      </c>
      <c r="E1068" s="427"/>
      <c r="F1068" s="1469" t="s">
        <v>748</v>
      </c>
      <c r="G1068" s="335" t="s">
        <v>40</v>
      </c>
      <c r="H1068" s="658">
        <v>395.98</v>
      </c>
      <c r="I1068" s="457">
        <v>15647331</v>
      </c>
      <c r="J1068" s="427"/>
      <c r="K1068" s="2443"/>
    </row>
    <row r="1069" spans="1:11" ht="18" customHeight="1" x14ac:dyDescent="0.25">
      <c r="A1069" s="1688" t="s">
        <v>1790</v>
      </c>
      <c r="B1069" s="570"/>
      <c r="C1069" s="658">
        <v>2.2389999999999999</v>
      </c>
      <c r="D1069" s="1754">
        <v>6478512</v>
      </c>
      <c r="E1069" s="427"/>
      <c r="F1069" s="498" t="s">
        <v>1793</v>
      </c>
      <c r="G1069" s="632"/>
      <c r="H1069" s="658">
        <v>14</v>
      </c>
      <c r="I1069" s="1754">
        <v>15841168</v>
      </c>
      <c r="J1069" s="427"/>
      <c r="K1069" s="2443"/>
    </row>
    <row r="1070" spans="1:11" ht="18" customHeight="1" x14ac:dyDescent="0.25">
      <c r="A1070" s="4658" t="s">
        <v>2495</v>
      </c>
      <c r="B1070" s="335" t="s">
        <v>40</v>
      </c>
      <c r="C1070" s="658">
        <v>147.97</v>
      </c>
      <c r="D1070" s="457">
        <v>6579815</v>
      </c>
      <c r="E1070" s="427"/>
      <c r="F1070" s="1688" t="s">
        <v>1758</v>
      </c>
      <c r="G1070" s="572"/>
      <c r="H1070" s="658">
        <v>50.6</v>
      </c>
      <c r="I1070" s="457">
        <v>15965668</v>
      </c>
      <c r="J1070" s="427"/>
      <c r="K1070" s="2443"/>
    </row>
    <row r="1071" spans="1:11" ht="18" customHeight="1" x14ac:dyDescent="0.25">
      <c r="A1071" s="1688" t="s">
        <v>2002</v>
      </c>
      <c r="B1071" s="335" t="s">
        <v>40</v>
      </c>
      <c r="C1071" s="657">
        <v>129.49</v>
      </c>
      <c r="D1071" s="457">
        <v>6579815</v>
      </c>
      <c r="E1071" s="427"/>
      <c r="F1071" s="1688" t="s">
        <v>2026</v>
      </c>
      <c r="G1071" s="335"/>
      <c r="H1071" s="657">
        <v>32.5</v>
      </c>
      <c r="I1071" s="457">
        <v>16118545</v>
      </c>
      <c r="J1071" s="427"/>
      <c r="K1071" s="2443"/>
    </row>
    <row r="1072" spans="1:11" ht="18" customHeight="1" x14ac:dyDescent="0.25">
      <c r="A1072" s="1390" t="s">
        <v>748</v>
      </c>
      <c r="B1072" s="1569" t="s">
        <v>40</v>
      </c>
      <c r="C1072" s="658">
        <v>140.38</v>
      </c>
      <c r="D1072" s="457">
        <v>6582268</v>
      </c>
      <c r="E1072" s="427"/>
      <c r="F1072" s="1390" t="s">
        <v>1790</v>
      </c>
      <c r="G1072" s="1388"/>
      <c r="H1072" s="658">
        <v>7.5</v>
      </c>
      <c r="I1072" s="457">
        <v>16235088</v>
      </c>
      <c r="J1072" s="427"/>
      <c r="K1072" s="2443"/>
    </row>
    <row r="1073" spans="1:11" ht="18" customHeight="1" x14ac:dyDescent="0.25">
      <c r="A1073" s="493" t="s">
        <v>1768</v>
      </c>
      <c r="B1073" s="2054"/>
      <c r="C1073" s="660">
        <v>1</v>
      </c>
      <c r="D1073" s="207">
        <v>6632147</v>
      </c>
      <c r="E1073" s="429"/>
      <c r="F1073" s="511" t="s">
        <v>1759</v>
      </c>
      <c r="G1073" s="626"/>
      <c r="H1073" s="658">
        <v>9</v>
      </c>
      <c r="I1073" s="333">
        <v>16598574</v>
      </c>
      <c r="J1073" s="427"/>
      <c r="K1073" s="2443"/>
    </row>
    <row r="1074" spans="1:11" ht="18" customHeight="1" x14ac:dyDescent="0.25">
      <c r="A1074" s="493" t="s">
        <v>1111</v>
      </c>
      <c r="B1074" s="636"/>
      <c r="C1074" s="657" t="s">
        <v>450</v>
      </c>
      <c r="D1074" s="225">
        <v>6673536</v>
      </c>
      <c r="E1074" s="427"/>
      <c r="F1074" s="2978" t="s">
        <v>2134</v>
      </c>
      <c r="G1074" s="583"/>
      <c r="H1074" s="658">
        <v>31.4</v>
      </c>
      <c r="I1074" s="438">
        <v>16615533</v>
      </c>
      <c r="J1074" s="427"/>
      <c r="K1074" s="2443"/>
    </row>
    <row r="1075" spans="1:11" ht="18" customHeight="1" x14ac:dyDescent="0.25">
      <c r="A1075" s="2493" t="s">
        <v>2134</v>
      </c>
      <c r="B1075" s="190"/>
      <c r="C1075" s="657">
        <v>14.5</v>
      </c>
      <c r="D1075" s="207">
        <v>6715039</v>
      </c>
      <c r="E1075" s="429"/>
      <c r="F1075" s="493" t="s">
        <v>1711</v>
      </c>
      <c r="G1075" s="335" t="s">
        <v>40</v>
      </c>
      <c r="H1075" s="658">
        <v>3.492</v>
      </c>
      <c r="I1075" s="438">
        <v>16889883</v>
      </c>
      <c r="J1075" s="427"/>
      <c r="K1075" s="2443"/>
    </row>
    <row r="1076" spans="1:11" ht="18" customHeight="1" x14ac:dyDescent="0.25">
      <c r="A1076" s="497" t="s">
        <v>1711</v>
      </c>
      <c r="B1076" s="569" t="s">
        <v>40</v>
      </c>
      <c r="C1076" s="681">
        <v>1.4490000000000001</v>
      </c>
      <c r="D1076" s="442">
        <v>6735823</v>
      </c>
      <c r="E1076" s="429"/>
      <c r="F1076" s="523" t="s">
        <v>2585</v>
      </c>
      <c r="G1076" s="190"/>
      <c r="H1076" s="726">
        <v>9</v>
      </c>
      <c r="I1076" s="485">
        <v>16925728</v>
      </c>
      <c r="J1076" s="427"/>
      <c r="K1076" s="2443"/>
    </row>
    <row r="1077" spans="1:11" ht="18" customHeight="1" x14ac:dyDescent="0.25">
      <c r="A1077" s="555" t="s">
        <v>1113</v>
      </c>
      <c r="B1077" s="579"/>
      <c r="C1077" s="683">
        <v>1.1000000000000001</v>
      </c>
      <c r="D1077" s="330">
        <v>6752093</v>
      </c>
      <c r="E1077" s="429"/>
      <c r="F1077" s="497" t="s">
        <v>1111</v>
      </c>
      <c r="G1077" s="569"/>
      <c r="H1077" s="2205"/>
      <c r="I1077" s="2207">
        <v>16940400</v>
      </c>
      <c r="J1077" s="423"/>
      <c r="K1077" s="2443"/>
    </row>
    <row r="1078" spans="1:11" ht="18" customHeight="1" x14ac:dyDescent="0.25">
      <c r="A1078" s="2313" t="s">
        <v>2585</v>
      </c>
      <c r="B1078" s="592"/>
      <c r="C1078" s="682">
        <v>3</v>
      </c>
      <c r="D1078" s="1391">
        <v>6942187</v>
      </c>
      <c r="E1078" s="429"/>
      <c r="F1078" s="495" t="s">
        <v>1833</v>
      </c>
      <c r="G1078" s="579" t="s">
        <v>40</v>
      </c>
      <c r="H1078" s="657">
        <v>47.055</v>
      </c>
      <c r="I1078" s="485">
        <v>16945637</v>
      </c>
      <c r="J1078" s="423"/>
      <c r="K1078" s="2443"/>
    </row>
    <row r="1079" spans="1:11" ht="18" customHeight="1" x14ac:dyDescent="0.25">
      <c r="A1079" s="499" t="s">
        <v>1833</v>
      </c>
      <c r="B1079" s="335" t="s">
        <v>40</v>
      </c>
      <c r="C1079" s="657">
        <v>37.478999999999999</v>
      </c>
      <c r="D1079" s="456">
        <v>6978915</v>
      </c>
      <c r="E1079" s="429"/>
      <c r="F1079" s="2202" t="s">
        <v>1826</v>
      </c>
      <c r="G1079" s="335" t="s">
        <v>40</v>
      </c>
      <c r="H1079" s="727">
        <v>42.36</v>
      </c>
      <c r="I1079" s="456">
        <v>17131418</v>
      </c>
      <c r="J1079" s="423"/>
      <c r="K1079" s="2443"/>
    </row>
    <row r="1080" spans="1:11" ht="18" customHeight="1" x14ac:dyDescent="0.25">
      <c r="A1080" s="523" t="s">
        <v>2626</v>
      </c>
      <c r="B1080" s="637"/>
      <c r="C1080" s="2201">
        <v>1.427</v>
      </c>
      <c r="D1080" s="184">
        <v>7138213</v>
      </c>
      <c r="E1080" s="429"/>
      <c r="F1080" s="493" t="s">
        <v>1768</v>
      </c>
      <c r="G1080" s="637"/>
      <c r="H1080" s="671">
        <v>2</v>
      </c>
      <c r="I1080" s="438">
        <v>17339337</v>
      </c>
      <c r="J1080" s="423"/>
      <c r="K1080" s="2443"/>
    </row>
    <row r="1081" spans="1:11" ht="18" customHeight="1" x14ac:dyDescent="0.25">
      <c r="A1081" s="1760" t="s">
        <v>1826</v>
      </c>
      <c r="B1081" s="614" t="s">
        <v>40</v>
      </c>
      <c r="C1081" s="1393">
        <v>20.597000000000001</v>
      </c>
      <c r="D1081" s="207">
        <v>7310021</v>
      </c>
      <c r="E1081" s="429"/>
      <c r="F1081" s="2313" t="s">
        <v>2626</v>
      </c>
      <c r="G1081" s="2203"/>
      <c r="H1081" s="658">
        <v>4.01</v>
      </c>
      <c r="I1081" s="438">
        <v>18187416</v>
      </c>
      <c r="J1081" s="423"/>
      <c r="K1081" s="2443"/>
    </row>
    <row r="1082" spans="1:11" ht="18" customHeight="1" x14ac:dyDescent="0.25">
      <c r="A1082" s="524" t="s">
        <v>1102</v>
      </c>
      <c r="B1082" s="1384" t="s">
        <v>40</v>
      </c>
      <c r="C1082" s="658">
        <v>2</v>
      </c>
      <c r="D1082" s="1391">
        <v>7476082</v>
      </c>
      <c r="E1082" s="429"/>
      <c r="F1082" s="1501" t="s">
        <v>1102</v>
      </c>
      <c r="G1082" s="1364" t="s">
        <v>40</v>
      </c>
      <c r="H1082" s="658">
        <v>10</v>
      </c>
      <c r="I1082" s="457">
        <v>18282406</v>
      </c>
      <c r="J1082" s="423"/>
      <c r="K1082" s="2443"/>
    </row>
    <row r="1083" spans="1:11" ht="18" customHeight="1" x14ac:dyDescent="0.25">
      <c r="A1083" s="497" t="s">
        <v>1594</v>
      </c>
      <c r="B1083" s="601" t="s">
        <v>40</v>
      </c>
      <c r="C1083" s="1518">
        <v>2.0939999999999999</v>
      </c>
      <c r="D1083" s="1391">
        <v>7801400</v>
      </c>
      <c r="E1083" s="429"/>
      <c r="F1083" s="502" t="s">
        <v>1101</v>
      </c>
      <c r="G1083" s="1397"/>
      <c r="H1083" s="658">
        <v>107.3</v>
      </c>
      <c r="I1083" s="457">
        <v>18792960</v>
      </c>
      <c r="J1083" s="423"/>
      <c r="K1083" s="2443"/>
    </row>
    <row r="1084" spans="1:11" ht="18" customHeight="1" x14ac:dyDescent="0.25">
      <c r="A1084" s="493" t="s">
        <v>1101</v>
      </c>
      <c r="B1084" s="637"/>
      <c r="C1084" s="660">
        <v>44.9</v>
      </c>
      <c r="D1084" s="207">
        <v>7820207</v>
      </c>
      <c r="E1084" s="429"/>
      <c r="F1084" s="497" t="s">
        <v>1594</v>
      </c>
      <c r="G1084" s="601" t="s">
        <v>40</v>
      </c>
      <c r="H1084" s="658">
        <v>5.0999999999999996</v>
      </c>
      <c r="I1084" s="438">
        <v>18922792</v>
      </c>
      <c r="J1084" s="423"/>
      <c r="K1084" s="2443"/>
    </row>
    <row r="1085" spans="1:11" ht="18" customHeight="1" x14ac:dyDescent="0.25">
      <c r="A1085" s="502" t="s">
        <v>578</v>
      </c>
      <c r="B1085" s="585" t="s">
        <v>40</v>
      </c>
      <c r="C1085" s="657">
        <v>2.875</v>
      </c>
      <c r="D1085" s="207">
        <v>7865354</v>
      </c>
      <c r="E1085" s="429"/>
      <c r="F1085" s="1465" t="s">
        <v>578</v>
      </c>
      <c r="G1085" s="585" t="s">
        <v>40</v>
      </c>
      <c r="H1085" s="658">
        <v>4.266</v>
      </c>
      <c r="I1085" s="438">
        <v>19072740</v>
      </c>
      <c r="J1085" s="423"/>
      <c r="K1085" s="2443"/>
    </row>
    <row r="1086" spans="1:11" ht="18" customHeight="1" x14ac:dyDescent="0.25">
      <c r="A1086" s="511" t="s">
        <v>1110</v>
      </c>
      <c r="B1086" s="636"/>
      <c r="C1086" s="658"/>
      <c r="D1086" s="1504">
        <v>7958726</v>
      </c>
      <c r="E1086" s="429"/>
      <c r="F1086" s="511" t="s">
        <v>1756</v>
      </c>
      <c r="G1086" s="335" t="s">
        <v>40</v>
      </c>
      <c r="H1086" s="1518">
        <v>19.66</v>
      </c>
      <c r="I1086" s="1391">
        <v>20107880</v>
      </c>
      <c r="J1086" s="423"/>
      <c r="K1086" s="2443"/>
    </row>
    <row r="1087" spans="1:11" ht="18" customHeight="1" x14ac:dyDescent="0.25">
      <c r="A1087" s="499" t="s">
        <v>2135</v>
      </c>
      <c r="B1087" s="190" t="s">
        <v>40</v>
      </c>
      <c r="C1087" s="657">
        <v>48.5</v>
      </c>
      <c r="D1087" s="207">
        <v>7977148</v>
      </c>
      <c r="E1087" s="429"/>
      <c r="F1087" s="494" t="s">
        <v>1110</v>
      </c>
      <c r="G1087" s="190"/>
      <c r="H1087" s="2206"/>
      <c r="I1087" s="2208">
        <v>20132609</v>
      </c>
      <c r="J1087" s="423"/>
      <c r="K1087" s="2443"/>
    </row>
    <row r="1088" spans="1:11" ht="18" customHeight="1" x14ac:dyDescent="0.25">
      <c r="A1088" s="494" t="s">
        <v>1756</v>
      </c>
      <c r="B1088" s="335" t="s">
        <v>40</v>
      </c>
      <c r="C1088" s="657">
        <v>4.9000000000000004</v>
      </c>
      <c r="D1088" s="207">
        <v>8045997</v>
      </c>
      <c r="E1088" s="429"/>
      <c r="F1088" s="2995" t="s">
        <v>2190</v>
      </c>
      <c r="G1088" s="335" t="s">
        <v>40</v>
      </c>
      <c r="H1088" s="658">
        <v>14.5</v>
      </c>
      <c r="I1088" s="438">
        <v>20194124</v>
      </c>
      <c r="J1088" s="423"/>
      <c r="K1088" s="2443"/>
    </row>
    <row r="1089" spans="1:11" ht="18" customHeight="1" x14ac:dyDescent="0.25">
      <c r="A1089" s="523" t="s">
        <v>2190</v>
      </c>
      <c r="B1089" s="579" t="s">
        <v>40</v>
      </c>
      <c r="C1089" s="699">
        <v>4.5</v>
      </c>
      <c r="D1089" s="464">
        <v>8197978</v>
      </c>
      <c r="E1089" s="429"/>
      <c r="F1089" s="2975" t="s">
        <v>1100</v>
      </c>
      <c r="G1089" s="579" t="s">
        <v>40</v>
      </c>
      <c r="H1089" s="663">
        <v>5</v>
      </c>
      <c r="I1089" s="333">
        <v>20194326</v>
      </c>
      <c r="J1089" s="423"/>
      <c r="K1089" s="2443"/>
    </row>
    <row r="1090" spans="1:11" ht="18" customHeight="1" x14ac:dyDescent="0.25">
      <c r="A1090" s="2975" t="s">
        <v>1100</v>
      </c>
      <c r="B1090" s="201" t="s">
        <v>40</v>
      </c>
      <c r="C1090" s="657">
        <v>2</v>
      </c>
      <c r="D1090" s="207">
        <v>8198206</v>
      </c>
      <c r="E1090" s="429"/>
      <c r="F1090" s="511" t="s">
        <v>2135</v>
      </c>
      <c r="G1090" s="335" t="s">
        <v>40</v>
      </c>
      <c r="H1090" s="658">
        <v>165.4</v>
      </c>
      <c r="I1090" s="438">
        <v>20415206</v>
      </c>
      <c r="J1090" s="423"/>
      <c r="K1090" s="2443"/>
    </row>
    <row r="1091" spans="1:11" ht="18" customHeight="1" x14ac:dyDescent="0.25">
      <c r="A1091" s="511" t="s">
        <v>575</v>
      </c>
      <c r="B1091" s="572"/>
      <c r="C1091" s="671">
        <v>9</v>
      </c>
      <c r="D1091" s="207">
        <v>8344772</v>
      </c>
      <c r="E1091" s="429"/>
      <c r="F1091" s="2983" t="s">
        <v>2217</v>
      </c>
      <c r="G1091" s="2204"/>
      <c r="H1091" s="658">
        <v>50.9</v>
      </c>
      <c r="I1091" s="438">
        <v>20432997</v>
      </c>
      <c r="J1091" s="432"/>
      <c r="K1091" s="2443"/>
    </row>
    <row r="1092" spans="1:11" ht="18" customHeight="1" x14ac:dyDescent="0.25">
      <c r="A1092" s="2988" t="s">
        <v>2217</v>
      </c>
      <c r="B1092" s="2200"/>
      <c r="C1092" s="657">
        <v>18.8</v>
      </c>
      <c r="D1092" s="207">
        <v>8347262</v>
      </c>
      <c r="E1092" s="429"/>
      <c r="F1092" s="500" t="s">
        <v>575</v>
      </c>
      <c r="G1092" s="1403"/>
      <c r="H1092" s="658">
        <v>23</v>
      </c>
      <c r="I1092" s="438">
        <v>20451599</v>
      </c>
      <c r="J1092" s="423"/>
      <c r="K1092" s="2443"/>
    </row>
    <row r="1093" spans="1:11" ht="18" customHeight="1" x14ac:dyDescent="0.25">
      <c r="A1093" s="1455" t="s">
        <v>1767</v>
      </c>
      <c r="B1093" s="215"/>
      <c r="C1093" s="657">
        <v>2</v>
      </c>
      <c r="D1093" s="207">
        <v>8425461</v>
      </c>
      <c r="E1093" s="429"/>
      <c r="F1093" s="2986" t="s">
        <v>2152</v>
      </c>
      <c r="G1093" s="190" t="s">
        <v>40</v>
      </c>
      <c r="H1093" s="658">
        <v>6</v>
      </c>
      <c r="I1093" s="438">
        <v>20754731</v>
      </c>
      <c r="J1093" s="423"/>
      <c r="K1093" s="2443"/>
    </row>
    <row r="1094" spans="1:11" ht="18" customHeight="1" x14ac:dyDescent="0.25">
      <c r="A1094" s="2313" t="s">
        <v>2152</v>
      </c>
      <c r="B1094" s="201" t="s">
        <v>40</v>
      </c>
      <c r="C1094" s="657">
        <v>1</v>
      </c>
      <c r="D1094" s="467">
        <v>8429353</v>
      </c>
      <c r="E1094" s="429"/>
      <c r="F1094" s="495" t="s">
        <v>1767</v>
      </c>
      <c r="G1094" s="570"/>
      <c r="H1094" s="658">
        <v>9</v>
      </c>
      <c r="I1094" s="438">
        <v>20760229</v>
      </c>
      <c r="J1094" s="423"/>
      <c r="K1094" s="2443"/>
    </row>
    <row r="1095" spans="1:11" ht="18" customHeight="1" x14ac:dyDescent="0.25">
      <c r="A1095" s="2496" t="s">
        <v>2624</v>
      </c>
      <c r="B1095" s="335" t="s">
        <v>40</v>
      </c>
      <c r="C1095" s="657">
        <v>3.1</v>
      </c>
      <c r="D1095" s="207">
        <v>8960705</v>
      </c>
      <c r="E1095" s="429"/>
      <c r="F1095" s="2313" t="s">
        <v>2624</v>
      </c>
      <c r="G1095" s="190" t="s">
        <v>40</v>
      </c>
      <c r="H1095" s="671">
        <v>13.4</v>
      </c>
      <c r="I1095" s="459">
        <v>22824869</v>
      </c>
      <c r="J1095" s="423"/>
      <c r="K1095" s="2443"/>
    </row>
    <row r="1096" spans="1:11" ht="18" customHeight="1" x14ac:dyDescent="0.25">
      <c r="A1096" s="510" t="s">
        <v>1959</v>
      </c>
      <c r="B1096" s="215"/>
      <c r="C1096" s="671">
        <v>1</v>
      </c>
      <c r="D1096" s="207">
        <v>9047585</v>
      </c>
      <c r="E1096" s="429"/>
      <c r="F1096" s="510" t="s">
        <v>1959</v>
      </c>
      <c r="G1096" s="215"/>
      <c r="H1096" s="658">
        <v>1</v>
      </c>
      <c r="I1096" s="438">
        <v>24065860</v>
      </c>
      <c r="J1096" s="423"/>
      <c r="K1096" s="2443"/>
    </row>
    <row r="1097" spans="1:11" ht="18" customHeight="1" x14ac:dyDescent="0.25">
      <c r="A1097" s="1390" t="s">
        <v>2625</v>
      </c>
      <c r="B1097" s="335" t="s">
        <v>40</v>
      </c>
      <c r="C1097" s="660">
        <v>2.44</v>
      </c>
      <c r="D1097" s="464">
        <v>9089363</v>
      </c>
      <c r="E1097" s="427"/>
      <c r="F1097" s="1390" t="s">
        <v>2625</v>
      </c>
      <c r="G1097" s="335" t="s">
        <v>40</v>
      </c>
      <c r="H1097" s="657">
        <v>7.15</v>
      </c>
      <c r="I1097" s="457">
        <v>24140549</v>
      </c>
      <c r="J1097" s="423"/>
      <c r="K1097" s="2443"/>
    </row>
    <row r="1098" spans="1:11" ht="18" customHeight="1" x14ac:dyDescent="0.25">
      <c r="A1098" s="498" t="s">
        <v>503</v>
      </c>
      <c r="B1098" s="638"/>
      <c r="C1098" s="657"/>
      <c r="D1098" s="207">
        <v>10014985</v>
      </c>
      <c r="E1098" s="429"/>
      <c r="F1098" s="493" t="s">
        <v>1109</v>
      </c>
      <c r="G1098" s="601"/>
      <c r="H1098" s="728"/>
      <c r="I1098" s="453">
        <v>28849939</v>
      </c>
      <c r="J1098" s="423"/>
      <c r="K1098" s="2443"/>
    </row>
    <row r="1099" spans="1:11" ht="18" customHeight="1" x14ac:dyDescent="0.25">
      <c r="A1099" s="1466" t="s">
        <v>1109</v>
      </c>
      <c r="B1099" s="639"/>
      <c r="C1099" s="657"/>
      <c r="D1099" s="225">
        <v>10015245</v>
      </c>
      <c r="E1099" s="429"/>
      <c r="F1099" s="536" t="s">
        <v>503</v>
      </c>
      <c r="G1099" s="215"/>
      <c r="H1099" s="729"/>
      <c r="I1099" s="438">
        <v>28849939</v>
      </c>
      <c r="J1099" s="423"/>
      <c r="K1099" s="2443"/>
    </row>
    <row r="1100" spans="1:11" ht="18" customHeight="1" x14ac:dyDescent="0.25">
      <c r="A1100" s="541" t="s">
        <v>1112</v>
      </c>
      <c r="B1100" s="1474"/>
      <c r="C1100" s="658"/>
      <c r="D1100" s="1464">
        <v>10217022</v>
      </c>
      <c r="E1100" s="429"/>
      <c r="F1100" s="541" t="s">
        <v>1112</v>
      </c>
      <c r="G1100" s="394"/>
      <c r="H1100" s="728"/>
      <c r="I1100" s="1464">
        <v>28929341</v>
      </c>
      <c r="J1100" s="423"/>
      <c r="K1100" s="2443"/>
    </row>
    <row r="1101" spans="1:11" ht="18" customHeight="1" x14ac:dyDescent="0.25">
      <c r="A1101" s="142"/>
      <c r="B1101" s="142"/>
      <c r="C1101" s="677"/>
      <c r="D1101" s="177"/>
      <c r="E1101" s="429"/>
      <c r="F1101" s="525"/>
      <c r="G1101" s="575"/>
      <c r="H1101" s="750"/>
      <c r="I1101" s="177"/>
      <c r="J1101" s="423"/>
      <c r="K1101" s="2443"/>
    </row>
    <row r="1102" spans="1:11" ht="18" customHeight="1" x14ac:dyDescent="0.25">
      <c r="A1102" s="525"/>
      <c r="B1102" s="749"/>
      <c r="C1102" s="677"/>
      <c r="D1102" s="177"/>
      <c r="E1102" s="429"/>
      <c r="F1102" s="525"/>
      <c r="G1102" s="575"/>
      <c r="H1102" s="750"/>
      <c r="I1102" s="177"/>
      <c r="J1102" s="432"/>
      <c r="K1102" s="2443"/>
    </row>
    <row r="1103" spans="1:11" ht="18" customHeight="1" x14ac:dyDescent="0.25">
      <c r="A1103" s="538"/>
      <c r="B1103" s="609"/>
      <c r="C1103" s="426"/>
      <c r="D1103" s="488"/>
      <c r="E1103" s="429"/>
      <c r="F1103" s="525"/>
      <c r="G1103" s="575"/>
      <c r="H1103" s="750"/>
      <c r="I1103" s="177"/>
      <c r="J1103" s="423"/>
      <c r="K1103" s="2443"/>
    </row>
    <row r="1104" spans="1:11" s="2" customFormat="1" ht="24" customHeight="1" x14ac:dyDescent="0.25">
      <c r="A1104" s="1437" t="s">
        <v>2798</v>
      </c>
      <c r="B1104" s="611"/>
      <c r="C1104" s="2430" t="s">
        <v>480</v>
      </c>
      <c r="D1104" s="2204" t="s">
        <v>2797</v>
      </c>
      <c r="E1104" s="429"/>
      <c r="F1104" s="525"/>
      <c r="G1104" s="575"/>
      <c r="H1104" s="750"/>
      <c r="I1104" s="177"/>
      <c r="J1104" s="423"/>
      <c r="K1104" s="429"/>
    </row>
    <row r="1105" spans="1:11" s="2" customFormat="1" ht="18" customHeight="1" x14ac:dyDescent="0.25">
      <c r="A1105" s="2976" t="s">
        <v>2642</v>
      </c>
      <c r="B1105" s="612"/>
      <c r="C1105" s="3067">
        <v>717.7</v>
      </c>
      <c r="D1105" s="3071">
        <v>7004609</v>
      </c>
      <c r="E1105" s="429"/>
      <c r="F1105" s="525"/>
      <c r="G1105" s="575"/>
      <c r="H1105" s="750"/>
      <c r="I1105" s="177"/>
      <c r="J1105" s="423"/>
      <c r="K1105" s="429"/>
    </row>
    <row r="1106" spans="1:11" s="2" customFormat="1" ht="18" customHeight="1" x14ac:dyDescent="0.25">
      <c r="A1106" s="2966" t="s">
        <v>2628</v>
      </c>
      <c r="B1106" s="1784"/>
      <c r="C1106" s="1728">
        <v>775.7</v>
      </c>
      <c r="D1106" s="1792">
        <v>7011581</v>
      </c>
      <c r="E1106" s="429"/>
      <c r="F1106" s="525"/>
      <c r="G1106" s="575"/>
      <c r="H1106" s="750"/>
      <c r="I1106" s="177"/>
      <c r="J1106" s="423"/>
      <c r="K1106" s="429"/>
    </row>
    <row r="1107" spans="1:11" s="2" customFormat="1" ht="18" customHeight="1" x14ac:dyDescent="0.25">
      <c r="A1107" s="3038" t="s">
        <v>2574</v>
      </c>
      <c r="B1107" s="1835"/>
      <c r="C1107" s="2793">
        <v>194.7</v>
      </c>
      <c r="D1107" s="3016">
        <v>7019749</v>
      </c>
      <c r="E1107" s="429"/>
      <c r="F1107" s="525"/>
      <c r="G1107" s="575"/>
      <c r="H1107" s="750"/>
      <c r="I1107" s="177"/>
      <c r="J1107" s="423"/>
      <c r="K1107" s="429"/>
    </row>
    <row r="1108" spans="1:11" s="2" customFormat="1" ht="18" customHeight="1" x14ac:dyDescent="0.25">
      <c r="A1108" s="3290" t="s">
        <v>2559</v>
      </c>
      <c r="B1108" s="3194"/>
      <c r="C1108" s="3199">
        <v>138.30000000000001</v>
      </c>
      <c r="D1108" s="3195">
        <v>7093491</v>
      </c>
      <c r="E1108" s="429"/>
      <c r="F1108" s="525"/>
      <c r="G1108" s="575"/>
      <c r="H1108" s="750"/>
      <c r="I1108" s="177"/>
      <c r="J1108" s="423"/>
      <c r="K1108" s="429"/>
    </row>
    <row r="1109" spans="1:11" s="2" customFormat="1" ht="18" customHeight="1" x14ac:dyDescent="0.25">
      <c r="A1109" s="2974" t="s">
        <v>2556</v>
      </c>
      <c r="B1109" s="335"/>
      <c r="C1109" s="3101">
        <v>28.38</v>
      </c>
      <c r="D1109" s="3016">
        <v>7095700</v>
      </c>
      <c r="E1109" s="429"/>
      <c r="F1109" s="525"/>
      <c r="G1109" s="575"/>
      <c r="H1109" s="750"/>
      <c r="I1109" s="177"/>
      <c r="J1109" s="423"/>
      <c r="K1109" s="429"/>
    </row>
    <row r="1110" spans="1:11" s="2" customFormat="1" ht="18" customHeight="1" x14ac:dyDescent="0.25">
      <c r="A1110" s="2974" t="s">
        <v>2469</v>
      </c>
      <c r="B1110" s="3097" t="s">
        <v>40</v>
      </c>
      <c r="C1110" s="2793">
        <v>2303.9</v>
      </c>
      <c r="D1110" s="3016">
        <v>7239149</v>
      </c>
      <c r="E1110" s="429"/>
      <c r="F1110" s="525"/>
      <c r="G1110" s="575"/>
      <c r="H1110" s="750"/>
      <c r="I1110" s="177"/>
      <c r="J1110" s="423"/>
      <c r="K1110" s="429"/>
    </row>
    <row r="1111" spans="1:11" s="2" customFormat="1" ht="18" customHeight="1" x14ac:dyDescent="0.25">
      <c r="A1111" s="4748" t="s">
        <v>2792</v>
      </c>
      <c r="B1111" s="3097" t="s">
        <v>40</v>
      </c>
      <c r="C1111" s="2793">
        <v>2049.3000000000002</v>
      </c>
      <c r="D1111" s="3016">
        <v>7244724</v>
      </c>
      <c r="E1111" s="429"/>
      <c r="F1111" s="525"/>
      <c r="G1111" s="575"/>
      <c r="H1111" s="750"/>
      <c r="I1111" s="177"/>
      <c r="J1111" s="423"/>
      <c r="K1111" s="429"/>
    </row>
    <row r="1112" spans="1:11" s="2" customFormat="1" ht="18" customHeight="1" x14ac:dyDescent="0.25">
      <c r="A1112" s="495" t="s">
        <v>2478</v>
      </c>
      <c r="B1112" s="3121" t="s">
        <v>40</v>
      </c>
      <c r="C1112" s="1728">
        <v>2237.8200000000002</v>
      </c>
      <c r="D1112" s="457">
        <v>7255790</v>
      </c>
      <c r="E1112" s="429"/>
      <c r="F1112" s="525"/>
      <c r="G1112" s="575"/>
      <c r="H1112" s="750"/>
      <c r="I1112" s="177"/>
      <c r="J1112" s="423"/>
      <c r="K1112" s="429"/>
    </row>
    <row r="1113" spans="1:11" s="2" customFormat="1" ht="18" customHeight="1" x14ac:dyDescent="0.25">
      <c r="A1113" s="1488" t="s">
        <v>2502</v>
      </c>
      <c r="B1113" s="1721" t="s">
        <v>40</v>
      </c>
      <c r="C1113" s="1867">
        <v>1929.82</v>
      </c>
      <c r="D1113" s="1792">
        <v>7256077</v>
      </c>
      <c r="E1113" s="429"/>
      <c r="F1113" s="525"/>
      <c r="G1113" s="575"/>
      <c r="H1113" s="750"/>
      <c r="I1113" s="177"/>
      <c r="J1113" s="423"/>
      <c r="K1113" s="429"/>
    </row>
    <row r="1114" spans="1:11" s="2" customFormat="1" ht="18" customHeight="1" x14ac:dyDescent="0.25">
      <c r="A1114" s="2437" t="s">
        <v>2482</v>
      </c>
      <c r="B1114" s="2043" t="s">
        <v>40</v>
      </c>
      <c r="C1114" s="2793">
        <v>2033.97</v>
      </c>
      <c r="D1114" s="1792">
        <v>7269048</v>
      </c>
      <c r="E1114" s="429"/>
      <c r="F1114" s="525"/>
      <c r="G1114" s="575"/>
      <c r="H1114" s="750"/>
      <c r="I1114" s="177"/>
      <c r="J1114" s="423"/>
      <c r="K1114" s="429"/>
    </row>
    <row r="1115" spans="1:11" s="2" customFormat="1" ht="18" customHeight="1" x14ac:dyDescent="0.25">
      <c r="A1115" s="1469" t="s">
        <v>2483</v>
      </c>
      <c r="B1115" s="335" t="s">
        <v>40</v>
      </c>
      <c r="C1115" s="1405">
        <v>1490.16</v>
      </c>
      <c r="D1115" s="457">
        <v>7269444</v>
      </c>
      <c r="E1115" s="429"/>
      <c r="F1115" s="525"/>
      <c r="G1115" s="575"/>
      <c r="H1115" s="750"/>
      <c r="I1115" s="177"/>
      <c r="J1115" s="423"/>
      <c r="K1115" s="429"/>
    </row>
    <row r="1116" spans="1:11" s="2" customFormat="1" ht="18" customHeight="1" x14ac:dyDescent="0.25">
      <c r="A1116" s="3286" t="s">
        <v>2479</v>
      </c>
      <c r="B1116" s="3188" t="s">
        <v>40</v>
      </c>
      <c r="C1116" s="2042">
        <v>1403.4</v>
      </c>
      <c r="D1116" s="1792">
        <v>7291678</v>
      </c>
      <c r="E1116" s="429"/>
      <c r="F1116" s="525"/>
      <c r="G1116" s="575"/>
      <c r="H1116" s="750"/>
      <c r="I1116" s="177"/>
      <c r="J1116" s="423"/>
      <c r="K1116" s="429"/>
    </row>
    <row r="1117" spans="1:11" s="2" customFormat="1" ht="18" customHeight="1" x14ac:dyDescent="0.25">
      <c r="A1117" s="1390" t="s">
        <v>2002</v>
      </c>
      <c r="B1117" s="2043" t="s">
        <v>40</v>
      </c>
      <c r="C1117" s="2162">
        <v>209.12</v>
      </c>
      <c r="D1117" s="1792">
        <v>7526595</v>
      </c>
      <c r="E1117" s="429"/>
      <c r="F1117" s="525"/>
      <c r="G1117" s="575"/>
      <c r="H1117" s="750"/>
      <c r="I1117" s="177"/>
      <c r="J1117" s="423"/>
      <c r="K1117" s="429"/>
    </row>
    <row r="1118" spans="1:11" s="2" customFormat="1" ht="18" customHeight="1" x14ac:dyDescent="0.25">
      <c r="A1118" s="4652" t="s">
        <v>2495</v>
      </c>
      <c r="B1118" s="2043" t="s">
        <v>40</v>
      </c>
      <c r="C1118" s="2042">
        <v>217.21</v>
      </c>
      <c r="D1118" s="1792">
        <v>7526614</v>
      </c>
      <c r="E1118" s="429"/>
      <c r="F1118" s="525"/>
      <c r="G1118" s="575"/>
      <c r="H1118" s="750"/>
      <c r="I1118" s="177"/>
      <c r="J1118" s="423"/>
      <c r="K1118" s="429"/>
    </row>
    <row r="1119" spans="1:11" s="2" customFormat="1" ht="18" customHeight="1" x14ac:dyDescent="0.25">
      <c r="A1119" s="1469" t="s">
        <v>748</v>
      </c>
      <c r="B1119" s="335" t="s">
        <v>40</v>
      </c>
      <c r="C1119" s="1682">
        <v>205.9</v>
      </c>
      <c r="D1119" s="457">
        <v>7529877</v>
      </c>
      <c r="E1119" s="429"/>
      <c r="F1119" s="525"/>
      <c r="G1119" s="575"/>
      <c r="H1119" s="750"/>
      <c r="I1119" s="177"/>
      <c r="J1119" s="423"/>
      <c r="K1119" s="429"/>
    </row>
    <row r="1120" spans="1:11" s="2" customFormat="1" ht="18" customHeight="1" x14ac:dyDescent="0.25">
      <c r="A1120" s="493" t="s">
        <v>1111</v>
      </c>
      <c r="B1120" s="2090"/>
      <c r="C1120" s="3068"/>
      <c r="D1120" s="1504">
        <v>7813711</v>
      </c>
      <c r="E1120" s="429"/>
      <c r="F1120" s="525"/>
      <c r="G1120" s="575"/>
      <c r="H1120" s="750"/>
      <c r="I1120" s="177"/>
      <c r="J1120" s="423"/>
      <c r="K1120" s="429"/>
    </row>
    <row r="1121" spans="1:11" s="2" customFormat="1" ht="18" customHeight="1" x14ac:dyDescent="0.25">
      <c r="A1121" s="1688" t="s">
        <v>2026</v>
      </c>
      <c r="B1121" s="335"/>
      <c r="C1121" s="3069">
        <v>17.5</v>
      </c>
      <c r="D1121" s="457">
        <v>7832567</v>
      </c>
      <c r="E1121" s="429"/>
      <c r="F1121" s="525"/>
      <c r="G1121" s="575"/>
      <c r="H1121" s="750"/>
      <c r="I1121" s="177"/>
      <c r="J1121" s="423"/>
      <c r="K1121" s="429"/>
    </row>
    <row r="1122" spans="1:11" s="2" customFormat="1" ht="18" customHeight="1" x14ac:dyDescent="0.25">
      <c r="A1122" s="1500" t="s">
        <v>1793</v>
      </c>
      <c r="B1122" s="3065"/>
      <c r="C1122" s="1683">
        <v>7.2</v>
      </c>
      <c r="D1122" s="457">
        <v>7900729</v>
      </c>
      <c r="E1122" s="429"/>
      <c r="F1122" s="525"/>
      <c r="G1122" s="575"/>
      <c r="H1122" s="750"/>
      <c r="I1122" s="177"/>
      <c r="J1122" s="423"/>
      <c r="K1122" s="429"/>
    </row>
    <row r="1123" spans="1:11" s="2" customFormat="1" ht="18" customHeight="1" x14ac:dyDescent="0.25">
      <c r="A1123" s="511" t="s">
        <v>1108</v>
      </c>
      <c r="B1123" s="3066"/>
      <c r="C1123" s="3070"/>
      <c r="D1123" s="466">
        <v>7917749</v>
      </c>
      <c r="E1123" s="429"/>
      <c r="F1123" s="525"/>
      <c r="G1123" s="575"/>
      <c r="H1123" s="750"/>
      <c r="I1123" s="177"/>
      <c r="J1123" s="423"/>
      <c r="K1123" s="429"/>
    </row>
    <row r="1124" spans="1:11" s="2" customFormat="1" ht="18" customHeight="1" x14ac:dyDescent="0.25">
      <c r="A1124" s="1761" t="s">
        <v>1826</v>
      </c>
      <c r="B1124" s="335" t="s">
        <v>40</v>
      </c>
      <c r="C1124" s="1728">
        <v>25.297000000000001</v>
      </c>
      <c r="D1124" s="1754">
        <v>7922523</v>
      </c>
      <c r="E1124" s="429"/>
      <c r="F1124" s="525"/>
      <c r="G1124" s="575"/>
      <c r="H1124" s="750"/>
      <c r="I1124" s="177"/>
      <c r="J1124" s="423"/>
      <c r="K1124" s="429"/>
    </row>
    <row r="1125" spans="1:11" s="2" customFormat="1" ht="18" customHeight="1" x14ac:dyDescent="0.25">
      <c r="A1125" s="1466" t="s">
        <v>1792</v>
      </c>
      <c r="B1125" s="3066"/>
      <c r="C1125" s="681">
        <v>22.08</v>
      </c>
      <c r="D1125" s="466">
        <v>7948518</v>
      </c>
      <c r="E1125" s="429"/>
      <c r="F1125" s="525"/>
      <c r="G1125" s="575"/>
      <c r="H1125" s="750"/>
      <c r="I1125" s="177"/>
      <c r="J1125" s="423"/>
      <c r="K1125" s="429"/>
    </row>
    <row r="1126" spans="1:11" s="2" customFormat="1" ht="18" customHeight="1" x14ac:dyDescent="0.25">
      <c r="A1126" s="1455" t="s">
        <v>1833</v>
      </c>
      <c r="B1126" s="585" t="s">
        <v>40</v>
      </c>
      <c r="C1126" s="681">
        <v>35.843000000000004</v>
      </c>
      <c r="D1126" s="333">
        <v>8012887</v>
      </c>
      <c r="E1126" s="429"/>
      <c r="F1126" s="525"/>
      <c r="G1126" s="575"/>
      <c r="H1126" s="750"/>
      <c r="I1126" s="177"/>
      <c r="J1126" s="423"/>
      <c r="K1126" s="429"/>
    </row>
    <row r="1127" spans="1:11" s="2" customFormat="1" ht="18" customHeight="1" x14ac:dyDescent="0.25">
      <c r="A1127" s="498" t="s">
        <v>1113</v>
      </c>
      <c r="B1127" s="583"/>
      <c r="C1127" s="681">
        <v>3.7</v>
      </c>
      <c r="D1127" s="466">
        <v>8081027</v>
      </c>
      <c r="E1127" s="429"/>
      <c r="F1127" s="525"/>
      <c r="G1127" s="575"/>
      <c r="H1127" s="750"/>
      <c r="I1127" s="177"/>
      <c r="J1127" s="423"/>
      <c r="K1127" s="429"/>
    </row>
    <row r="1128" spans="1:11" s="2" customFormat="1" ht="18" customHeight="1" x14ac:dyDescent="0.25">
      <c r="A1128" s="493" t="s">
        <v>1758</v>
      </c>
      <c r="B1128" s="572"/>
      <c r="C1128" s="681">
        <v>23.5</v>
      </c>
      <c r="D1128" s="466">
        <v>8096818</v>
      </c>
      <c r="E1128" s="429"/>
      <c r="F1128" s="525"/>
      <c r="G1128" s="575"/>
      <c r="H1128" s="750"/>
      <c r="I1128" s="177"/>
      <c r="J1128" s="423"/>
      <c r="K1128" s="429"/>
    </row>
    <row r="1129" spans="1:11" s="2" customFormat="1" ht="18" customHeight="1" x14ac:dyDescent="0.25">
      <c r="A1129" s="2997" t="s">
        <v>2134</v>
      </c>
      <c r="B1129" s="190"/>
      <c r="C1129" s="681">
        <v>20.2</v>
      </c>
      <c r="D1129" s="466">
        <v>8329976</v>
      </c>
      <c r="E1129" s="429"/>
      <c r="F1129" s="525"/>
      <c r="G1129" s="575"/>
      <c r="H1129" s="750"/>
      <c r="I1129" s="177"/>
      <c r="J1129" s="423"/>
      <c r="K1129" s="429"/>
    </row>
    <row r="1130" spans="1:11" s="2" customFormat="1" ht="18" customHeight="1" x14ac:dyDescent="0.25">
      <c r="A1130" s="493" t="s">
        <v>1711</v>
      </c>
      <c r="B1130" s="569" t="s">
        <v>40</v>
      </c>
      <c r="C1130" s="683">
        <v>2.218</v>
      </c>
      <c r="D1130" s="213">
        <v>8527587</v>
      </c>
      <c r="E1130" s="429"/>
      <c r="F1130" s="525"/>
      <c r="G1130" s="575"/>
      <c r="H1130" s="750"/>
      <c r="I1130" s="177"/>
      <c r="J1130" s="423"/>
      <c r="K1130" s="429"/>
    </row>
    <row r="1131" spans="1:11" s="2" customFormat="1" ht="18" customHeight="1" x14ac:dyDescent="0.25">
      <c r="A1131" s="493" t="s">
        <v>1101</v>
      </c>
      <c r="B1131" s="578"/>
      <c r="C1131" s="726">
        <v>48</v>
      </c>
      <c r="D1131" s="485">
        <v>8552090</v>
      </c>
      <c r="E1131" s="429"/>
      <c r="F1131" s="525"/>
      <c r="G1131" s="575"/>
      <c r="H1131" s="750"/>
      <c r="I1131" s="177"/>
      <c r="J1131" s="423"/>
      <c r="K1131" s="429"/>
    </row>
    <row r="1132" spans="1:11" s="2" customFormat="1" ht="18" customHeight="1" x14ac:dyDescent="0.25">
      <c r="A1132" s="1374" t="s">
        <v>1790</v>
      </c>
      <c r="B1132" s="1395"/>
      <c r="C1132" s="682">
        <v>6.5</v>
      </c>
      <c r="D1132" s="1391">
        <v>8697648</v>
      </c>
      <c r="E1132" s="429"/>
      <c r="F1132" s="525"/>
      <c r="G1132" s="575"/>
      <c r="H1132" s="750"/>
      <c r="I1132" s="177"/>
      <c r="J1132" s="423"/>
      <c r="K1132" s="429"/>
    </row>
    <row r="1133" spans="1:11" s="2" customFormat="1" ht="18" customHeight="1" x14ac:dyDescent="0.25">
      <c r="A1133" s="1458" t="s">
        <v>1102</v>
      </c>
      <c r="B1133" s="585" t="s">
        <v>40</v>
      </c>
      <c r="C1133" s="684">
        <v>5</v>
      </c>
      <c r="D1133" s="1391">
        <v>8714839</v>
      </c>
      <c r="E1133" s="429"/>
      <c r="F1133" s="525"/>
      <c r="G1133" s="575"/>
      <c r="H1133" s="750"/>
      <c r="I1133" s="177"/>
      <c r="J1133" s="423"/>
      <c r="K1133" s="429"/>
    </row>
    <row r="1134" spans="1:11" s="2" customFormat="1" ht="18" customHeight="1" x14ac:dyDescent="0.25">
      <c r="A1134" s="493" t="s">
        <v>1594</v>
      </c>
      <c r="B1134" s="592" t="s">
        <v>40</v>
      </c>
      <c r="C1134" s="682">
        <v>2.7</v>
      </c>
      <c r="D1134" s="468">
        <v>8726230</v>
      </c>
      <c r="E1134" s="429"/>
      <c r="F1134" s="525"/>
      <c r="G1134" s="575"/>
      <c r="H1134" s="750"/>
      <c r="I1134" s="177"/>
      <c r="J1134" s="423"/>
      <c r="K1134" s="429"/>
    </row>
    <row r="1135" spans="1:11" s="2" customFormat="1" ht="18" customHeight="1" x14ac:dyDescent="0.25">
      <c r="A1135" s="2491" t="s">
        <v>2585</v>
      </c>
      <c r="B1135" s="335"/>
      <c r="C1135" s="657">
        <v>8</v>
      </c>
      <c r="D1135" s="491">
        <v>8784914</v>
      </c>
      <c r="E1135" s="429"/>
      <c r="F1135" s="525"/>
      <c r="G1135" s="575"/>
      <c r="H1135" s="750"/>
      <c r="I1135" s="177"/>
      <c r="J1135" s="423"/>
      <c r="K1135" s="429"/>
    </row>
    <row r="1136" spans="1:11" s="2" customFormat="1" ht="18" customHeight="1" x14ac:dyDescent="0.25">
      <c r="A1136" s="511" t="s">
        <v>578</v>
      </c>
      <c r="B1136" s="335" t="s">
        <v>40</v>
      </c>
      <c r="C1136" s="658">
        <v>2.2650000000000001</v>
      </c>
      <c r="D1136" s="1391">
        <v>8785292</v>
      </c>
      <c r="E1136" s="429"/>
      <c r="F1136" s="525"/>
      <c r="G1136" s="575"/>
      <c r="H1136" s="750"/>
      <c r="I1136" s="177"/>
      <c r="J1136" s="423"/>
      <c r="K1136" s="429"/>
    </row>
    <row r="1137" spans="1:11" s="2" customFormat="1" ht="18" customHeight="1" x14ac:dyDescent="0.25">
      <c r="A1137" s="3008" t="s">
        <v>2217</v>
      </c>
      <c r="B1137" s="190"/>
      <c r="C1137" s="742">
        <v>26.1</v>
      </c>
      <c r="D1137" s="485">
        <v>8821120</v>
      </c>
      <c r="E1137" s="429"/>
      <c r="F1137" s="525"/>
      <c r="G1137" s="575"/>
      <c r="H1137" s="750"/>
      <c r="I1137" s="177"/>
      <c r="J1137" s="423"/>
      <c r="K1137" s="429"/>
    </row>
    <row r="1138" spans="1:11" s="2" customFormat="1" ht="18" customHeight="1" x14ac:dyDescent="0.25">
      <c r="A1138" s="497" t="s">
        <v>575</v>
      </c>
      <c r="B1138" s="629"/>
      <c r="C1138" s="658">
        <v>11</v>
      </c>
      <c r="D1138" s="438">
        <v>8833194</v>
      </c>
      <c r="E1138" s="429"/>
      <c r="F1138" s="525"/>
      <c r="G1138" s="575"/>
      <c r="H1138" s="750"/>
      <c r="I1138" s="177"/>
      <c r="J1138" s="423"/>
      <c r="K1138" s="429"/>
    </row>
    <row r="1139" spans="1:11" s="2" customFormat="1" ht="18" customHeight="1" x14ac:dyDescent="0.25">
      <c r="A1139" s="499" t="s">
        <v>1756</v>
      </c>
      <c r="B1139" s="190" t="s">
        <v>40</v>
      </c>
      <c r="C1139" s="658">
        <v>24.1</v>
      </c>
      <c r="D1139" s="438">
        <v>8859694</v>
      </c>
      <c r="E1139" s="429"/>
      <c r="F1139" s="525"/>
      <c r="G1139" s="575"/>
      <c r="H1139" s="750"/>
      <c r="I1139" s="177"/>
      <c r="J1139" s="423"/>
      <c r="K1139" s="429"/>
    </row>
    <row r="1140" spans="1:11" s="2" customFormat="1" ht="18" customHeight="1" x14ac:dyDescent="0.25">
      <c r="A1140" s="493" t="s">
        <v>1767</v>
      </c>
      <c r="B1140" s="602"/>
      <c r="C1140" s="658">
        <v>4</v>
      </c>
      <c r="D1140" s="438">
        <v>8894967</v>
      </c>
      <c r="E1140" s="429"/>
      <c r="F1140" s="525"/>
      <c r="G1140" s="575"/>
      <c r="H1140" s="750"/>
      <c r="I1140" s="177"/>
      <c r="J1140" s="423"/>
      <c r="K1140" s="429"/>
    </row>
    <row r="1141" spans="1:11" s="2" customFormat="1" ht="18" customHeight="1" x14ac:dyDescent="0.25">
      <c r="A1141" s="2986" t="s">
        <v>2152</v>
      </c>
      <c r="B1141" s="190" t="s">
        <v>40</v>
      </c>
      <c r="C1141" s="658">
        <v>4</v>
      </c>
      <c r="D1141" s="438">
        <v>8899895</v>
      </c>
      <c r="E1141" s="429"/>
      <c r="F1141" s="525"/>
      <c r="G1141" s="575"/>
      <c r="H1141" s="750"/>
      <c r="I1141" s="177"/>
      <c r="J1141" s="423"/>
      <c r="K1141" s="429"/>
    </row>
    <row r="1142" spans="1:11" s="2" customFormat="1" ht="18" customHeight="1" x14ac:dyDescent="0.25">
      <c r="A1142" s="511" t="s">
        <v>2135</v>
      </c>
      <c r="B1142" s="335" t="s">
        <v>40</v>
      </c>
      <c r="C1142" s="658">
        <v>71.8</v>
      </c>
      <c r="D1142" s="438">
        <v>9004654</v>
      </c>
      <c r="E1142" s="429"/>
      <c r="F1142" s="525"/>
      <c r="G1142" s="575"/>
      <c r="H1142" s="750"/>
      <c r="I1142" s="177"/>
      <c r="J1142" s="423"/>
      <c r="K1142" s="429"/>
    </row>
    <row r="1143" spans="1:11" s="2" customFormat="1" ht="18" customHeight="1" x14ac:dyDescent="0.25">
      <c r="A1143" s="2313" t="s">
        <v>1100</v>
      </c>
      <c r="B1143" s="579" t="s">
        <v>40</v>
      </c>
      <c r="C1143" s="659">
        <v>2.6</v>
      </c>
      <c r="D1143" s="333">
        <v>9052303</v>
      </c>
      <c r="E1143" s="429"/>
      <c r="F1143" s="525"/>
      <c r="G1143" s="575"/>
      <c r="H1143" s="750"/>
      <c r="I1143" s="177"/>
      <c r="J1143" s="423"/>
      <c r="K1143" s="429"/>
    </row>
    <row r="1144" spans="1:11" s="2" customFormat="1" ht="18" customHeight="1" x14ac:dyDescent="0.25">
      <c r="A1144" s="2975" t="s">
        <v>2190</v>
      </c>
      <c r="B1144" s="335" t="s">
        <v>40</v>
      </c>
      <c r="C1144" s="658">
        <v>21.5</v>
      </c>
      <c r="D1144" s="459">
        <v>9052707</v>
      </c>
      <c r="E1144" s="429"/>
      <c r="F1144" s="525"/>
      <c r="G1144" s="575"/>
      <c r="H1144" s="750"/>
      <c r="I1144" s="177"/>
      <c r="J1144" s="423"/>
      <c r="K1144" s="429"/>
    </row>
    <row r="1145" spans="1:11" s="2" customFormat="1" ht="18" customHeight="1" x14ac:dyDescent="0.25">
      <c r="A1145" s="500" t="s">
        <v>1759</v>
      </c>
      <c r="B1145" s="1402"/>
      <c r="C1145" s="658">
        <v>11</v>
      </c>
      <c r="D1145" s="438">
        <v>9086677</v>
      </c>
      <c r="E1145" s="429"/>
      <c r="F1145" s="525"/>
      <c r="G1145" s="575"/>
      <c r="H1145" s="750"/>
      <c r="I1145" s="177"/>
      <c r="J1145" s="423"/>
      <c r="K1145" s="429"/>
    </row>
    <row r="1146" spans="1:11" s="2" customFormat="1" ht="18" customHeight="1" x14ac:dyDescent="0.25">
      <c r="A1146" s="2496" t="s">
        <v>2626</v>
      </c>
      <c r="B1146" s="201"/>
      <c r="C1146" s="658">
        <v>1.86</v>
      </c>
      <c r="D1146" s="438">
        <v>9090045</v>
      </c>
      <c r="E1146" s="429"/>
      <c r="F1146" s="525"/>
      <c r="G1146" s="575"/>
      <c r="H1146" s="750"/>
      <c r="I1146" s="177"/>
      <c r="J1146" s="423"/>
      <c r="K1146" s="429"/>
    </row>
    <row r="1147" spans="1:11" s="2" customFormat="1" ht="18" customHeight="1" x14ac:dyDescent="0.25">
      <c r="A1147" s="497" t="s">
        <v>1768</v>
      </c>
      <c r="B1147" s="637"/>
      <c r="C1147" s="658">
        <v>1</v>
      </c>
      <c r="D1147" s="438">
        <v>9093866</v>
      </c>
      <c r="E1147" s="429"/>
      <c r="F1147" s="525"/>
      <c r="G1147" s="575"/>
      <c r="H1147" s="750"/>
      <c r="I1147" s="177"/>
      <c r="J1147" s="423"/>
      <c r="K1147" s="429"/>
    </row>
    <row r="1148" spans="1:11" s="2" customFormat="1" ht="18" customHeight="1" x14ac:dyDescent="0.25">
      <c r="A1148" s="2313" t="s">
        <v>2624</v>
      </c>
      <c r="B1148" s="201" t="s">
        <v>40</v>
      </c>
      <c r="C1148" s="658">
        <v>8.1999999999999993</v>
      </c>
      <c r="D1148" s="438">
        <v>10031898</v>
      </c>
      <c r="E1148" s="429"/>
      <c r="F1148" s="525"/>
      <c r="G1148" s="575"/>
      <c r="H1148" s="750"/>
      <c r="I1148" s="177"/>
      <c r="J1148" s="423"/>
      <c r="K1148" s="429"/>
    </row>
    <row r="1149" spans="1:11" s="2" customFormat="1" ht="18" customHeight="1" x14ac:dyDescent="0.25">
      <c r="A1149" s="510" t="s">
        <v>2625</v>
      </c>
      <c r="B1149" s="190" t="s">
        <v>40</v>
      </c>
      <c r="C1149" s="658">
        <v>6.19</v>
      </c>
      <c r="D1149" s="438">
        <v>10604113</v>
      </c>
      <c r="E1149" s="429"/>
      <c r="F1149" s="525"/>
      <c r="G1149" s="575"/>
      <c r="H1149" s="750"/>
      <c r="I1149" s="177"/>
      <c r="J1149" s="423"/>
      <c r="K1149" s="429"/>
    </row>
    <row r="1150" spans="1:11" s="2" customFormat="1" ht="18" customHeight="1" x14ac:dyDescent="0.25">
      <c r="A1150" s="493" t="s">
        <v>1959</v>
      </c>
      <c r="B1150" s="215"/>
      <c r="C1150" s="658">
        <v>1</v>
      </c>
      <c r="D1150" s="459">
        <v>10819810</v>
      </c>
      <c r="E1150" s="429"/>
      <c r="F1150" s="525"/>
      <c r="G1150" s="575"/>
      <c r="H1150" s="750"/>
      <c r="I1150" s="177"/>
      <c r="J1150" s="423"/>
      <c r="K1150" s="429"/>
    </row>
    <row r="1151" spans="1:11" s="2" customFormat="1" ht="18" customHeight="1" x14ac:dyDescent="0.25">
      <c r="A1151" s="1390" t="s">
        <v>1110</v>
      </c>
      <c r="B1151" s="2090"/>
      <c r="C1151" s="698"/>
      <c r="D1151" s="1504">
        <v>10985157</v>
      </c>
      <c r="E1151" s="429"/>
      <c r="F1151" s="525"/>
      <c r="G1151" s="575"/>
      <c r="H1151" s="750"/>
      <c r="I1151" s="177"/>
      <c r="J1151" s="423"/>
      <c r="K1151" s="429"/>
    </row>
    <row r="1152" spans="1:11" s="2" customFormat="1" ht="18" customHeight="1" x14ac:dyDescent="0.25">
      <c r="A1152" s="493" t="s">
        <v>1109</v>
      </c>
      <c r="B1152" s="617"/>
      <c r="C1152" s="697"/>
      <c r="D1152" s="453">
        <v>15367336</v>
      </c>
      <c r="E1152" s="429"/>
      <c r="F1152" s="525"/>
      <c r="G1152" s="575"/>
      <c r="H1152" s="750"/>
      <c r="I1152" s="177"/>
      <c r="J1152" s="423"/>
      <c r="K1152" s="429"/>
    </row>
    <row r="1153" spans="1:11" s="2" customFormat="1" ht="18" customHeight="1" x14ac:dyDescent="0.25">
      <c r="A1153" s="536" t="s">
        <v>503</v>
      </c>
      <c r="B1153" s="215"/>
      <c r="C1153" s="658"/>
      <c r="D1153" s="438">
        <v>15421279</v>
      </c>
      <c r="E1153" s="429"/>
      <c r="F1153" s="525"/>
      <c r="G1153" s="575"/>
      <c r="H1153" s="750"/>
      <c r="I1153" s="177"/>
      <c r="J1153" s="423"/>
      <c r="K1153" s="429"/>
    </row>
    <row r="1154" spans="1:11" s="2" customFormat="1" ht="18" customHeight="1" x14ac:dyDescent="0.25">
      <c r="A1154" s="1466" t="s">
        <v>1112</v>
      </c>
      <c r="B1154" s="616"/>
      <c r="C1154" s="698"/>
      <c r="D1154" s="1464">
        <v>15423063</v>
      </c>
      <c r="E1154" s="429"/>
      <c r="F1154" s="525"/>
      <c r="G1154" s="575"/>
      <c r="H1154" s="750"/>
      <c r="I1154" s="177"/>
      <c r="J1154" s="423"/>
      <c r="K1154" s="429"/>
    </row>
    <row r="1155" spans="1:11" s="2" customFormat="1" ht="18" customHeight="1" x14ac:dyDescent="0.25">
      <c r="A1155" s="525"/>
      <c r="B1155" s="749"/>
      <c r="C1155" s="677"/>
      <c r="D1155" s="177"/>
      <c r="E1155" s="429"/>
      <c r="F1155" s="525"/>
      <c r="G1155" s="575"/>
      <c r="H1155" s="750"/>
      <c r="I1155" s="177"/>
      <c r="J1155" s="423"/>
      <c r="K1155" s="429"/>
    </row>
    <row r="1156" spans="1:11" s="2" customFormat="1" ht="18" customHeight="1" x14ac:dyDescent="0.25">
      <c r="A1156" s="140" t="s">
        <v>2744</v>
      </c>
      <c r="B1156" s="140"/>
      <c r="C1156" s="673"/>
      <c r="D1156" s="177"/>
      <c r="E1156" s="429"/>
      <c r="F1156" s="478"/>
      <c r="G1156" s="478"/>
      <c r="H1156" s="711"/>
      <c r="I1156" s="478"/>
      <c r="J1156" s="423"/>
      <c r="K1156" s="429"/>
    </row>
    <row r="1157" spans="1:11" s="2" customFormat="1" ht="18" customHeight="1" x14ac:dyDescent="0.25">
      <c r="A1157" s="140" t="s">
        <v>2745</v>
      </c>
      <c r="B1157" s="140"/>
      <c r="C1157" s="673"/>
      <c r="D1157" s="177"/>
      <c r="E1157" s="429"/>
      <c r="F1157" s="478"/>
      <c r="G1157" s="478"/>
      <c r="H1157" s="711"/>
      <c r="I1157" s="478"/>
      <c r="J1157" s="423"/>
      <c r="K1157" s="429"/>
    </row>
    <row r="1158" spans="1:11" ht="18" customHeight="1" x14ac:dyDescent="0.25">
      <c r="A1158" s="142" t="s">
        <v>2746</v>
      </c>
      <c r="B1158" s="142"/>
      <c r="C1158" s="673"/>
      <c r="D1158" s="177"/>
      <c r="E1158" s="429"/>
      <c r="F1158" s="478"/>
      <c r="G1158" s="478"/>
      <c r="H1158" s="711"/>
      <c r="I1158" s="478"/>
      <c r="J1158" s="423"/>
      <c r="K1158" s="2443"/>
    </row>
    <row r="1159" spans="1:11" ht="18" customHeight="1" x14ac:dyDescent="0.25">
      <c r="A1159" s="449"/>
      <c r="B1159" s="449"/>
      <c r="C1159" s="673"/>
      <c r="D1159" s="177"/>
      <c r="E1159" s="429"/>
      <c r="F1159" s="478"/>
      <c r="G1159" s="478"/>
      <c r="H1159" s="711"/>
      <c r="I1159" s="478"/>
      <c r="J1159" s="423"/>
      <c r="K1159" s="2443"/>
    </row>
    <row r="1160" spans="1:11" ht="24.75" customHeight="1" x14ac:dyDescent="0.25">
      <c r="A1160" s="650" t="s">
        <v>1620</v>
      </c>
      <c r="B1160" s="446"/>
      <c r="C1160" s="2"/>
      <c r="D1160" s="446"/>
      <c r="E1160" s="429"/>
      <c r="F1160" s="478"/>
      <c r="G1160" s="478"/>
      <c r="H1160" s="711"/>
      <c r="I1160" s="478"/>
      <c r="J1160" s="423"/>
      <c r="K1160" s="2443"/>
    </row>
    <row r="1161" spans="1:11" ht="18" customHeight="1" thickBot="1" x14ac:dyDescent="0.3">
      <c r="A1161" s="447"/>
      <c r="B1161" s="447"/>
      <c r="C1161" s="424"/>
      <c r="D1161" s="447"/>
      <c r="E1161" s="431"/>
      <c r="F1161" s="479"/>
      <c r="G1161" s="479"/>
      <c r="H1161" s="712"/>
      <c r="I1161" s="479"/>
      <c r="J1161" s="423"/>
      <c r="K1161" s="2443"/>
    </row>
    <row r="1162" spans="1:11" ht="23.1" customHeight="1" thickTop="1" x14ac:dyDescent="0.25">
      <c r="A1162" s="448"/>
      <c r="B1162" s="448"/>
      <c r="C1162" s="426"/>
      <c r="D1162" s="448"/>
      <c r="E1162" s="432"/>
      <c r="F1162" s="478"/>
      <c r="G1162" s="478"/>
      <c r="H1162" s="711"/>
      <c r="I1162" s="478"/>
      <c r="J1162" s="423"/>
      <c r="K1162" s="2443"/>
    </row>
    <row r="1163" spans="1:11" ht="4.5" customHeight="1" x14ac:dyDescent="0.25">
      <c r="A1163" s="525"/>
      <c r="B1163" s="449"/>
      <c r="C1163" s="673"/>
      <c r="D1163" s="177"/>
      <c r="E1163" s="429"/>
      <c r="F1163" s="538"/>
      <c r="G1163" s="609"/>
      <c r="H1163" s="426"/>
      <c r="I1163" s="488"/>
      <c r="J1163" s="423"/>
      <c r="K1163" s="2443"/>
    </row>
    <row r="1164" spans="1:11" ht="24" customHeight="1" x14ac:dyDescent="0.25">
      <c r="A1164" s="1457" t="s">
        <v>1096</v>
      </c>
      <c r="B1164" s="635"/>
      <c r="C1164" s="2430" t="s">
        <v>480</v>
      </c>
      <c r="D1164" s="433" t="s">
        <v>1097</v>
      </c>
      <c r="E1164" s="429"/>
      <c r="F1164" s="1437" t="s">
        <v>608</v>
      </c>
      <c r="G1164" s="611"/>
      <c r="H1164" s="2430" t="s">
        <v>480</v>
      </c>
      <c r="I1164" s="434" t="s">
        <v>607</v>
      </c>
      <c r="J1164" s="423"/>
      <c r="K1164" s="2443"/>
    </row>
    <row r="1165" spans="1:11" ht="18" customHeight="1" x14ac:dyDescent="0.25">
      <c r="A1165" s="1767" t="s">
        <v>761</v>
      </c>
      <c r="B1165" s="612"/>
      <c r="C1165" s="667">
        <v>21.077999999999999</v>
      </c>
      <c r="D1165" s="465">
        <v>18658071</v>
      </c>
      <c r="E1165" s="427"/>
      <c r="F1165" s="2976" t="s">
        <v>2621</v>
      </c>
      <c r="G1165" s="565"/>
      <c r="H1165" s="743">
        <v>9707</v>
      </c>
      <c r="I1165" s="3064">
        <v>36292491</v>
      </c>
      <c r="J1165" s="429"/>
      <c r="K1165" s="2443"/>
    </row>
    <row r="1166" spans="1:11" ht="18" customHeight="1" x14ac:dyDescent="0.25">
      <c r="A1166" s="2491" t="s">
        <v>2621</v>
      </c>
      <c r="B1166" s="583"/>
      <c r="C1166" s="657">
        <v>7427.8</v>
      </c>
      <c r="D1166" s="207">
        <v>19218556</v>
      </c>
      <c r="E1166" s="429"/>
      <c r="F1166" s="3042" t="s">
        <v>2792</v>
      </c>
      <c r="G1166" s="563" t="s">
        <v>40</v>
      </c>
      <c r="H1166" s="658">
        <v>5017</v>
      </c>
      <c r="I1166" s="438">
        <v>36363076</v>
      </c>
      <c r="J1166" s="423"/>
      <c r="K1166" s="2443"/>
    </row>
    <row r="1167" spans="1:11" ht="18" customHeight="1" x14ac:dyDescent="0.25">
      <c r="A1167" s="1488" t="s">
        <v>2478</v>
      </c>
      <c r="B1167" s="1721" t="s">
        <v>40</v>
      </c>
      <c r="C1167" s="658">
        <v>2820.96</v>
      </c>
      <c r="D1167" s="1566">
        <v>19270199</v>
      </c>
      <c r="E1167" s="429"/>
      <c r="F1167" s="1488" t="s">
        <v>2478</v>
      </c>
      <c r="G1167" s="1721" t="s">
        <v>40</v>
      </c>
      <c r="H1167" s="1866">
        <v>4601.97</v>
      </c>
      <c r="I1167" s="1391">
        <v>36365718</v>
      </c>
      <c r="J1167" s="427"/>
      <c r="K1167" s="2443"/>
    </row>
    <row r="1168" spans="1:11" ht="18" customHeight="1" x14ac:dyDescent="0.25">
      <c r="A1168" s="3203" t="s">
        <v>2792</v>
      </c>
      <c r="B1168" s="4737" t="s">
        <v>40</v>
      </c>
      <c r="C1168" s="3191">
        <v>2771.5</v>
      </c>
      <c r="D1168" s="3195">
        <v>19269132</v>
      </c>
      <c r="E1168" s="429"/>
      <c r="F1168" s="3286" t="s">
        <v>2479</v>
      </c>
      <c r="G1168" s="3194" t="s">
        <v>40</v>
      </c>
      <c r="H1168" s="3197">
        <v>3404.81</v>
      </c>
      <c r="I1168" s="3198">
        <v>36371149</v>
      </c>
      <c r="J1168" s="427"/>
      <c r="K1168" s="2443"/>
    </row>
    <row r="1169" spans="1:11" ht="18" customHeight="1" x14ac:dyDescent="0.25">
      <c r="A1169" s="3032" t="s">
        <v>2479</v>
      </c>
      <c r="B1169" s="1835" t="s">
        <v>40</v>
      </c>
      <c r="C1169" s="657">
        <v>1825.38</v>
      </c>
      <c r="D1169" s="3016">
        <v>19271377</v>
      </c>
      <c r="E1169" s="429"/>
      <c r="F1169" s="3032" t="s">
        <v>2480</v>
      </c>
      <c r="G1169" s="1835" t="s">
        <v>40</v>
      </c>
      <c r="H1169" s="1866">
        <v>4037.6</v>
      </c>
      <c r="I1169" s="3020">
        <v>36374892</v>
      </c>
      <c r="J1169" s="427"/>
      <c r="K1169" s="2443"/>
    </row>
    <row r="1170" spans="1:11" ht="18" customHeight="1" x14ac:dyDescent="0.25">
      <c r="A1170" s="1688" t="s">
        <v>2480</v>
      </c>
      <c r="B1170" s="3015" t="s">
        <v>40</v>
      </c>
      <c r="C1170" s="657">
        <v>2054.8000000000002</v>
      </c>
      <c r="D1170" s="3016">
        <v>19272344</v>
      </c>
      <c r="E1170" s="429"/>
      <c r="F1170" s="2957" t="s">
        <v>2623</v>
      </c>
      <c r="G1170" s="3015"/>
      <c r="H1170" s="1866">
        <v>649.70000000000005</v>
      </c>
      <c r="I1170" s="3020">
        <v>36378007</v>
      </c>
      <c r="J1170" s="427"/>
      <c r="K1170" s="2443"/>
    </row>
    <row r="1171" spans="1:11" ht="18" customHeight="1" x14ac:dyDescent="0.25">
      <c r="A1171" s="1688" t="s">
        <v>1792</v>
      </c>
      <c r="B1171" s="3060"/>
      <c r="C1171" s="657">
        <v>44.44</v>
      </c>
      <c r="D1171" s="3016">
        <v>19274477</v>
      </c>
      <c r="E1171" s="429"/>
      <c r="F1171" s="4632" t="s">
        <v>2495</v>
      </c>
      <c r="G1171" s="3015" t="s">
        <v>40</v>
      </c>
      <c r="H1171" s="1866">
        <v>526.70000000000005</v>
      </c>
      <c r="I1171" s="3020">
        <v>36385410</v>
      </c>
      <c r="J1171" s="427"/>
      <c r="K1171" s="2443"/>
    </row>
    <row r="1172" spans="1:11" ht="18" customHeight="1" x14ac:dyDescent="0.25">
      <c r="A1172" s="4657" t="s">
        <v>2495</v>
      </c>
      <c r="B1172" s="2043" t="s">
        <v>40</v>
      </c>
      <c r="C1172" s="658">
        <v>294.27</v>
      </c>
      <c r="D1172" s="1792">
        <v>19282338</v>
      </c>
      <c r="E1172" s="429"/>
      <c r="F1172" s="2437" t="s">
        <v>2002</v>
      </c>
      <c r="G1172" s="2043" t="s">
        <v>40</v>
      </c>
      <c r="H1172" s="1866">
        <v>491.37</v>
      </c>
      <c r="I1172" s="2794">
        <v>36385410</v>
      </c>
      <c r="J1172" s="427"/>
      <c r="K1172" s="2443"/>
    </row>
    <row r="1173" spans="1:11" ht="18" customHeight="1" x14ac:dyDescent="0.25">
      <c r="A1173" s="2796" t="s">
        <v>2002</v>
      </c>
      <c r="B1173" s="2403" t="s">
        <v>40</v>
      </c>
      <c r="C1173" s="658">
        <v>290.8</v>
      </c>
      <c r="D1173" s="1792">
        <v>19282338</v>
      </c>
      <c r="E1173" s="429"/>
      <c r="F1173" s="2954" t="s">
        <v>2469</v>
      </c>
      <c r="G1173" s="4729" t="s">
        <v>40</v>
      </c>
      <c r="H1173" s="1866">
        <v>4427.8999999999996</v>
      </c>
      <c r="I1173" s="2794">
        <v>36397912</v>
      </c>
      <c r="J1173" s="427"/>
      <c r="K1173" s="2443"/>
    </row>
    <row r="1174" spans="1:11" ht="18" customHeight="1" x14ac:dyDescent="0.25">
      <c r="A1174" s="495" t="s">
        <v>748</v>
      </c>
      <c r="B1174" s="585" t="s">
        <v>40</v>
      </c>
      <c r="C1174" s="657">
        <v>336.68</v>
      </c>
      <c r="D1174" s="333">
        <v>19283705</v>
      </c>
      <c r="E1174" s="429"/>
      <c r="F1174" s="493" t="s">
        <v>2482</v>
      </c>
      <c r="G1174" s="585" t="s">
        <v>40</v>
      </c>
      <c r="H1174" s="682">
        <v>4265.74</v>
      </c>
      <c r="I1174" s="468">
        <v>36398604</v>
      </c>
      <c r="J1174" s="423"/>
      <c r="K1174" s="2443"/>
    </row>
    <row r="1175" spans="1:11" ht="18" customHeight="1" x14ac:dyDescent="0.25">
      <c r="A1175" s="523" t="s">
        <v>2469</v>
      </c>
      <c r="B1175" s="2850" t="s">
        <v>40</v>
      </c>
      <c r="C1175" s="658">
        <v>2855.3</v>
      </c>
      <c r="D1175" s="1792">
        <v>19286042</v>
      </c>
      <c r="E1175" s="429"/>
      <c r="F1175" s="3286" t="s">
        <v>2483</v>
      </c>
      <c r="G1175" s="3188" t="s">
        <v>40</v>
      </c>
      <c r="H1175" s="1866">
        <v>3787.03</v>
      </c>
      <c r="I1175" s="1391">
        <v>36403574</v>
      </c>
      <c r="J1175" s="423"/>
      <c r="K1175" s="2443"/>
    </row>
    <row r="1176" spans="1:11" ht="18" customHeight="1" x14ac:dyDescent="0.25">
      <c r="A1176" s="1390" t="s">
        <v>2482</v>
      </c>
      <c r="B1176" s="2043" t="s">
        <v>40</v>
      </c>
      <c r="C1176" s="697">
        <v>2357.3000000000002</v>
      </c>
      <c r="D1176" s="1792">
        <v>19286159</v>
      </c>
      <c r="E1176" s="429"/>
      <c r="F1176" s="1390" t="s">
        <v>748</v>
      </c>
      <c r="G1176" s="2043" t="s">
        <v>40</v>
      </c>
      <c r="H1176" s="1866">
        <v>471.84</v>
      </c>
      <c r="I1176" s="1391">
        <v>36405844</v>
      </c>
      <c r="J1176" s="423"/>
      <c r="K1176" s="2443"/>
    </row>
    <row r="1177" spans="1:11" ht="18" customHeight="1" x14ac:dyDescent="0.25">
      <c r="A1177" s="2959" t="s">
        <v>2623</v>
      </c>
      <c r="B1177" s="572"/>
      <c r="C1177" s="658">
        <v>333.8</v>
      </c>
      <c r="D1177" s="457">
        <v>19288539</v>
      </c>
      <c r="E1177" s="427"/>
      <c r="F1177" s="3327" t="s">
        <v>1826</v>
      </c>
      <c r="G1177" s="335" t="s">
        <v>40</v>
      </c>
      <c r="H1177" s="658">
        <v>58.405999999999999</v>
      </c>
      <c r="I1177" s="457">
        <v>36407374</v>
      </c>
      <c r="J1177" s="423"/>
      <c r="K1177" s="2443"/>
    </row>
    <row r="1178" spans="1:11" ht="18" customHeight="1" x14ac:dyDescent="0.25">
      <c r="A1178" s="3286" t="s">
        <v>2483</v>
      </c>
      <c r="B1178" s="3188" t="s">
        <v>40</v>
      </c>
      <c r="C1178" s="697">
        <v>2020.91</v>
      </c>
      <c r="D1178" s="1793">
        <v>19289989</v>
      </c>
      <c r="E1178" s="427"/>
      <c r="F1178" s="1390" t="s">
        <v>1792</v>
      </c>
      <c r="G1178" s="2209"/>
      <c r="H1178" s="658">
        <v>67.58</v>
      </c>
      <c r="I1178" s="1792">
        <v>36410087</v>
      </c>
      <c r="J1178" s="423"/>
      <c r="K1178" s="2443"/>
    </row>
    <row r="1179" spans="1:11" ht="18" customHeight="1" x14ac:dyDescent="0.25">
      <c r="A1179" s="1761" t="s">
        <v>1826</v>
      </c>
      <c r="B1179" s="335" t="s">
        <v>40</v>
      </c>
      <c r="C1179" s="657">
        <v>35.697000000000003</v>
      </c>
      <c r="D1179" s="457">
        <v>19307569</v>
      </c>
      <c r="E1179" s="427"/>
      <c r="F1179" s="3063" t="s">
        <v>762</v>
      </c>
      <c r="G1179" s="335"/>
      <c r="H1179" s="657">
        <v>11</v>
      </c>
      <c r="I1179" s="457">
        <v>36450525</v>
      </c>
      <c r="J1179" s="423"/>
      <c r="K1179" s="2443"/>
    </row>
    <row r="1180" spans="1:11" ht="18" customHeight="1" x14ac:dyDescent="0.25">
      <c r="A1180" s="1688" t="s">
        <v>1833</v>
      </c>
      <c r="B1180" s="335" t="s">
        <v>40</v>
      </c>
      <c r="C1180" s="658">
        <v>44.03</v>
      </c>
      <c r="D1180" s="457">
        <v>19319183</v>
      </c>
      <c r="E1180" s="427"/>
      <c r="F1180" s="1688" t="s">
        <v>1833</v>
      </c>
      <c r="G1180" s="335" t="s">
        <v>40</v>
      </c>
      <c r="H1180" s="658">
        <v>58.957999999999998</v>
      </c>
      <c r="I1180" s="457">
        <v>36463303</v>
      </c>
      <c r="J1180" s="423"/>
      <c r="K1180" s="2443"/>
    </row>
    <row r="1181" spans="1:11" ht="18" customHeight="1" x14ac:dyDescent="0.25">
      <c r="A1181" s="1488" t="s">
        <v>578</v>
      </c>
      <c r="B1181" s="1384" t="s">
        <v>40</v>
      </c>
      <c r="C1181" s="658">
        <v>17.015999999999998</v>
      </c>
      <c r="D1181" s="457">
        <v>19328252</v>
      </c>
      <c r="E1181" s="427"/>
      <c r="F1181" s="1488" t="s">
        <v>1101</v>
      </c>
      <c r="G1181" s="1386"/>
      <c r="H1181" s="658">
        <v>302.64</v>
      </c>
      <c r="I1181" s="457">
        <v>36509475</v>
      </c>
      <c r="J1181" s="423"/>
      <c r="K1181" s="2443"/>
    </row>
    <row r="1182" spans="1:11" ht="18" customHeight="1" x14ac:dyDescent="0.25">
      <c r="A1182" s="1488" t="s">
        <v>1594</v>
      </c>
      <c r="B1182" s="335" t="s">
        <v>40</v>
      </c>
      <c r="C1182" s="657">
        <v>4.2</v>
      </c>
      <c r="D1182" s="207">
        <v>19334282</v>
      </c>
      <c r="E1182" s="429"/>
      <c r="F1182" s="1387" t="s">
        <v>1594</v>
      </c>
      <c r="G1182" s="335" t="s">
        <v>40</v>
      </c>
      <c r="H1182" s="682">
        <v>8.5470000000000006</v>
      </c>
      <c r="I1182" s="1391">
        <v>36514112</v>
      </c>
      <c r="J1182" s="423"/>
      <c r="K1182" s="2443"/>
    </row>
    <row r="1183" spans="1:11" ht="18" customHeight="1" x14ac:dyDescent="0.25">
      <c r="A1183" s="1469" t="s">
        <v>1101</v>
      </c>
      <c r="B1183" s="573"/>
      <c r="C1183" s="659">
        <v>158</v>
      </c>
      <c r="D1183" s="457">
        <v>19342593</v>
      </c>
      <c r="E1183" s="429"/>
      <c r="F1183" s="3011" t="s">
        <v>2217</v>
      </c>
      <c r="G1183" s="335"/>
      <c r="H1183" s="744">
        <v>81.900000000000006</v>
      </c>
      <c r="I1183" s="438">
        <v>36549853</v>
      </c>
      <c r="J1183" s="423"/>
      <c r="K1183" s="2443"/>
    </row>
    <row r="1184" spans="1:11" ht="18" customHeight="1" x14ac:dyDescent="0.25">
      <c r="A1184" s="2974" t="s">
        <v>2556</v>
      </c>
      <c r="B1184" s="563"/>
      <c r="C1184" s="682">
        <v>26.4</v>
      </c>
      <c r="D1184" s="1754">
        <v>19373775</v>
      </c>
      <c r="E1184" s="429"/>
      <c r="F1184" s="1688" t="s">
        <v>575</v>
      </c>
      <c r="G1184" s="570"/>
      <c r="H1184" s="682">
        <v>42.37</v>
      </c>
      <c r="I1184" s="1391">
        <v>36550114</v>
      </c>
      <c r="J1184" s="423"/>
      <c r="K1184" s="2443"/>
    </row>
    <row r="1185" spans="1:11" ht="18" customHeight="1" x14ac:dyDescent="0.25">
      <c r="A1185" s="498" t="s">
        <v>1793</v>
      </c>
      <c r="B1185" s="3061"/>
      <c r="C1185" s="683">
        <v>11</v>
      </c>
      <c r="D1185" s="468">
        <v>19377320</v>
      </c>
      <c r="E1185" s="429"/>
      <c r="F1185" s="2496" t="s">
        <v>2585</v>
      </c>
      <c r="G1185" s="569"/>
      <c r="H1185" s="726">
        <v>19</v>
      </c>
      <c r="I1185" s="485">
        <v>36551177</v>
      </c>
      <c r="J1185" s="423"/>
      <c r="K1185" s="2443"/>
    </row>
    <row r="1186" spans="1:11" ht="18" customHeight="1" x14ac:dyDescent="0.25">
      <c r="A1186" s="493" t="s">
        <v>1790</v>
      </c>
      <c r="B1186" s="586"/>
      <c r="C1186" s="683">
        <v>9.18</v>
      </c>
      <c r="D1186" s="330">
        <v>19386496</v>
      </c>
      <c r="E1186" s="429"/>
      <c r="F1186" s="493" t="s">
        <v>1790</v>
      </c>
      <c r="G1186" s="585"/>
      <c r="H1186" s="682">
        <v>16.96</v>
      </c>
      <c r="I1186" s="332">
        <v>36565712</v>
      </c>
      <c r="J1186" s="423"/>
      <c r="K1186" s="2443"/>
    </row>
    <row r="1187" spans="1:11" ht="18" customHeight="1" x14ac:dyDescent="0.25">
      <c r="A1187" s="493" t="s">
        <v>2135</v>
      </c>
      <c r="B1187" s="579" t="s">
        <v>40</v>
      </c>
      <c r="C1187" s="668">
        <v>154.19999999999999</v>
      </c>
      <c r="D1187" s="457">
        <v>19397524</v>
      </c>
      <c r="E1187" s="429"/>
      <c r="F1187" s="2491" t="s">
        <v>2556</v>
      </c>
      <c r="G1187" s="335"/>
      <c r="H1187" s="657">
        <v>53.36</v>
      </c>
      <c r="I1187" s="491">
        <v>36594097</v>
      </c>
      <c r="J1187" s="423"/>
      <c r="K1187" s="2443"/>
    </row>
    <row r="1188" spans="1:11" ht="18" customHeight="1" x14ac:dyDescent="0.25">
      <c r="A1188" s="499" t="s">
        <v>575</v>
      </c>
      <c r="B1188" s="1774"/>
      <c r="C1188" s="742">
        <v>22</v>
      </c>
      <c r="D1188" s="184">
        <v>19403976</v>
      </c>
      <c r="E1188" s="429"/>
      <c r="F1188" s="539" t="s">
        <v>1793</v>
      </c>
      <c r="G1188" s="2053"/>
      <c r="H1188" s="742">
        <v>23.22</v>
      </c>
      <c r="I1188" s="485">
        <v>36605043</v>
      </c>
      <c r="J1188" s="423"/>
      <c r="K1188" s="2443"/>
    </row>
    <row r="1189" spans="1:11" ht="18" customHeight="1" x14ac:dyDescent="0.25">
      <c r="A1189" s="2993" t="s">
        <v>2217</v>
      </c>
      <c r="B1189" s="614"/>
      <c r="C1189" s="3062">
        <v>44.6</v>
      </c>
      <c r="D1189" s="207">
        <v>19403988</v>
      </c>
      <c r="E1189" s="429"/>
      <c r="F1189" s="2798" t="s">
        <v>2558</v>
      </c>
      <c r="G1189" s="335"/>
      <c r="H1189" s="658">
        <v>255</v>
      </c>
      <c r="I1189" s="438">
        <v>36615975</v>
      </c>
      <c r="J1189" s="423"/>
      <c r="K1189" s="2443"/>
    </row>
    <row r="1190" spans="1:11" ht="18" customHeight="1" x14ac:dyDescent="0.25">
      <c r="A1190" s="523" t="s">
        <v>2585</v>
      </c>
      <c r="B1190" s="190"/>
      <c r="C1190" s="657">
        <v>10</v>
      </c>
      <c r="D1190" s="207">
        <v>19406066</v>
      </c>
      <c r="E1190" s="429"/>
      <c r="F1190" s="495" t="s">
        <v>578</v>
      </c>
      <c r="G1190" s="1385" t="s">
        <v>40</v>
      </c>
      <c r="H1190" s="658">
        <v>85.18</v>
      </c>
      <c r="I1190" s="438">
        <v>36638392</v>
      </c>
      <c r="J1190" s="423"/>
      <c r="K1190" s="2443"/>
    </row>
    <row r="1191" spans="1:11" ht="18" customHeight="1" x14ac:dyDescent="0.25">
      <c r="A1191" s="2956" t="s">
        <v>2558</v>
      </c>
      <c r="B1191" s="592"/>
      <c r="C1191" s="657">
        <v>139.6</v>
      </c>
      <c r="D1191" s="207">
        <v>19406551</v>
      </c>
      <c r="E1191" s="429"/>
      <c r="F1191" s="511" t="s">
        <v>2026</v>
      </c>
      <c r="G1191" s="579"/>
      <c r="H1191" s="658">
        <v>21.1</v>
      </c>
      <c r="I1191" s="438">
        <v>36675927</v>
      </c>
      <c r="J1191" s="423"/>
      <c r="K1191" s="2443"/>
    </row>
    <row r="1192" spans="1:11" ht="18" customHeight="1" x14ac:dyDescent="0.25">
      <c r="A1192" s="497" t="s">
        <v>1758</v>
      </c>
      <c r="B1192" s="1774"/>
      <c r="C1192" s="657">
        <v>42.4</v>
      </c>
      <c r="D1192" s="207">
        <v>19408422</v>
      </c>
      <c r="E1192" s="429"/>
      <c r="F1192" s="499" t="s">
        <v>2135</v>
      </c>
      <c r="G1192" s="335" t="s">
        <v>40</v>
      </c>
      <c r="H1192" s="658">
        <v>116.1</v>
      </c>
      <c r="I1192" s="438">
        <v>36701816</v>
      </c>
      <c r="J1192" s="423"/>
      <c r="K1192" s="2443"/>
    </row>
    <row r="1193" spans="1:11" ht="18" customHeight="1" x14ac:dyDescent="0.25">
      <c r="A1193" s="2977" t="s">
        <v>2134</v>
      </c>
      <c r="B1193" s="1384"/>
      <c r="C1193" s="657">
        <v>16.600000000000001</v>
      </c>
      <c r="D1193" s="457">
        <v>19430744</v>
      </c>
      <c r="E1193" s="429"/>
      <c r="F1193" s="495" t="s">
        <v>1756</v>
      </c>
      <c r="G1193" s="1384" t="s">
        <v>40</v>
      </c>
      <c r="H1193" s="657">
        <v>20.61</v>
      </c>
      <c r="I1193" s="457">
        <v>36704140</v>
      </c>
      <c r="J1193" s="423"/>
      <c r="K1193" s="2443"/>
    </row>
    <row r="1194" spans="1:11" ht="18" customHeight="1" x14ac:dyDescent="0.25">
      <c r="A1194" s="499" t="s">
        <v>1756</v>
      </c>
      <c r="B1194" s="335" t="s">
        <v>40</v>
      </c>
      <c r="C1194" s="657">
        <v>16.55</v>
      </c>
      <c r="D1194" s="207">
        <v>19439342</v>
      </c>
      <c r="E1194" s="429"/>
      <c r="F1194" s="493" t="s">
        <v>1758</v>
      </c>
      <c r="G1194" s="572"/>
      <c r="H1194" s="658">
        <v>95.2</v>
      </c>
      <c r="I1194" s="438">
        <v>36738431</v>
      </c>
      <c r="J1194" s="423"/>
      <c r="K1194" s="2443"/>
    </row>
    <row r="1195" spans="1:11" ht="18" customHeight="1" x14ac:dyDescent="0.25">
      <c r="A1195" s="511" t="s">
        <v>2026</v>
      </c>
      <c r="B1195" s="201"/>
      <c r="C1195" s="657">
        <v>7.9</v>
      </c>
      <c r="D1195" s="207">
        <v>19479286</v>
      </c>
      <c r="E1195" s="429"/>
      <c r="F1195" s="3003" t="s">
        <v>2134</v>
      </c>
      <c r="G1195" s="335"/>
      <c r="H1195" s="658">
        <v>25.5</v>
      </c>
      <c r="I1195" s="438">
        <v>36741052</v>
      </c>
      <c r="J1195" s="423"/>
      <c r="K1195" s="2443"/>
    </row>
    <row r="1196" spans="1:11" ht="18" customHeight="1" x14ac:dyDescent="0.25">
      <c r="A1196" s="2981" t="s">
        <v>2626</v>
      </c>
      <c r="B1196" s="573"/>
      <c r="C1196" s="661">
        <v>2.0779999999999998</v>
      </c>
      <c r="D1196" s="207">
        <v>19483412</v>
      </c>
      <c r="E1196" s="429"/>
      <c r="F1196" s="493" t="s">
        <v>1959</v>
      </c>
      <c r="G1196" s="568"/>
      <c r="H1196" s="658">
        <v>1</v>
      </c>
      <c r="I1196" s="438">
        <v>36804926</v>
      </c>
      <c r="J1196" s="432"/>
      <c r="K1196" s="2443"/>
    </row>
    <row r="1197" spans="1:11" ht="18" customHeight="1" x14ac:dyDescent="0.25">
      <c r="A1197" s="493" t="s">
        <v>1959</v>
      </c>
      <c r="B1197" s="1775"/>
      <c r="C1197" s="657">
        <v>1</v>
      </c>
      <c r="D1197" s="207">
        <v>19493317</v>
      </c>
      <c r="E1197" s="429"/>
      <c r="F1197" s="3007" t="s">
        <v>2626</v>
      </c>
      <c r="G1197" s="1384"/>
      <c r="H1197" s="658">
        <v>3.6259999999999999</v>
      </c>
      <c r="I1197" s="457">
        <v>36858152</v>
      </c>
      <c r="J1197" s="423"/>
      <c r="K1197" s="2443"/>
    </row>
    <row r="1198" spans="1:11" ht="18" customHeight="1" x14ac:dyDescent="0.25">
      <c r="A1198" s="497" t="s">
        <v>1768</v>
      </c>
      <c r="B1198" s="1386"/>
      <c r="C1198" s="684">
        <v>1</v>
      </c>
      <c r="D1198" s="1391">
        <v>19502172</v>
      </c>
      <c r="E1198" s="429"/>
      <c r="F1198" s="497" t="s">
        <v>1768</v>
      </c>
      <c r="G1198" s="1364"/>
      <c r="H1198" s="658">
        <v>5</v>
      </c>
      <c r="I1198" s="457">
        <v>36878113</v>
      </c>
      <c r="J1198" s="423"/>
      <c r="K1198" s="2443"/>
    </row>
    <row r="1199" spans="1:11" ht="18" customHeight="1" x14ac:dyDescent="0.25">
      <c r="A1199" s="2313" t="s">
        <v>1100</v>
      </c>
      <c r="B1199" s="1364" t="s">
        <v>40</v>
      </c>
      <c r="C1199" s="682">
        <v>5.4</v>
      </c>
      <c r="D1199" s="1391">
        <v>19515558</v>
      </c>
      <c r="E1199" s="429"/>
      <c r="F1199" s="2975" t="s">
        <v>2190</v>
      </c>
      <c r="G1199" s="1364" t="s">
        <v>40</v>
      </c>
      <c r="H1199" s="658">
        <v>15.7</v>
      </c>
      <c r="I1199" s="457">
        <v>36888771</v>
      </c>
      <c r="J1199" s="423"/>
      <c r="K1199" s="2443"/>
    </row>
    <row r="1200" spans="1:11" ht="18" customHeight="1" x14ac:dyDescent="0.25">
      <c r="A1200" s="2975" t="s">
        <v>2190</v>
      </c>
      <c r="B1200" s="592" t="s">
        <v>40</v>
      </c>
      <c r="C1200" s="682">
        <v>10.3</v>
      </c>
      <c r="D1200" s="1391">
        <v>19515576</v>
      </c>
      <c r="E1200" s="429"/>
      <c r="F1200" s="493" t="s">
        <v>921</v>
      </c>
      <c r="G1200" s="642"/>
      <c r="H1200" s="659">
        <v>12.76</v>
      </c>
      <c r="I1200" s="239">
        <v>36888771</v>
      </c>
      <c r="J1200" s="423"/>
      <c r="K1200" s="2443"/>
    </row>
    <row r="1201" spans="1:11" ht="18" customHeight="1" x14ac:dyDescent="0.25">
      <c r="A1201" s="493" t="s">
        <v>921</v>
      </c>
      <c r="B1201" s="637"/>
      <c r="C1201" s="660">
        <v>6.4690000000000003</v>
      </c>
      <c r="D1201" s="207">
        <v>19515576</v>
      </c>
      <c r="E1201" s="429"/>
      <c r="F1201" s="2498" t="s">
        <v>1100</v>
      </c>
      <c r="G1201" s="339" t="s">
        <v>40</v>
      </c>
      <c r="H1201" s="658">
        <v>10</v>
      </c>
      <c r="I1201" s="438">
        <v>36889639</v>
      </c>
      <c r="J1201" s="423"/>
      <c r="K1201" s="2443"/>
    </row>
    <row r="1202" spans="1:11" ht="18" customHeight="1" x14ac:dyDescent="0.25">
      <c r="A1202" s="497" t="s">
        <v>1767</v>
      </c>
      <c r="B1202" s="215"/>
      <c r="C1202" s="657">
        <v>4</v>
      </c>
      <c r="D1202" s="207">
        <v>19515706</v>
      </c>
      <c r="E1202" s="429"/>
      <c r="F1202" s="495" t="s">
        <v>1711</v>
      </c>
      <c r="G1202" s="335" t="s">
        <v>40</v>
      </c>
      <c r="H1202" s="658">
        <v>7.5590000000000002</v>
      </c>
      <c r="I1202" s="438">
        <v>36904161</v>
      </c>
      <c r="J1202" s="423"/>
      <c r="K1202" s="2443"/>
    </row>
    <row r="1203" spans="1:11" ht="18" customHeight="1" x14ac:dyDescent="0.25">
      <c r="A1203" s="2981" t="s">
        <v>2624</v>
      </c>
      <c r="B1203" s="335" t="s">
        <v>40</v>
      </c>
      <c r="C1203" s="658">
        <v>5.7</v>
      </c>
      <c r="D1203" s="457">
        <v>19520581</v>
      </c>
      <c r="E1203" s="429"/>
      <c r="F1203" s="2981" t="s">
        <v>2152</v>
      </c>
      <c r="G1203" s="335" t="s">
        <v>40</v>
      </c>
      <c r="H1203" s="658">
        <v>6</v>
      </c>
      <c r="I1203" s="457">
        <v>36908005</v>
      </c>
      <c r="J1203" s="423"/>
      <c r="K1203" s="2443"/>
    </row>
    <row r="1204" spans="1:11" ht="18" customHeight="1" x14ac:dyDescent="0.25">
      <c r="A1204" s="493" t="s">
        <v>1711</v>
      </c>
      <c r="B1204" s="201" t="s">
        <v>40</v>
      </c>
      <c r="C1204" s="657">
        <v>1.7450000000000001</v>
      </c>
      <c r="D1204" s="207">
        <v>19538986</v>
      </c>
      <c r="E1204" s="429"/>
      <c r="F1204" s="495" t="s">
        <v>1759</v>
      </c>
      <c r="G1204" s="335" t="s">
        <v>40</v>
      </c>
      <c r="H1204" s="658">
        <v>23</v>
      </c>
      <c r="I1204" s="438">
        <v>36948003</v>
      </c>
      <c r="J1204" s="423"/>
      <c r="K1204" s="2443"/>
    </row>
    <row r="1205" spans="1:11" ht="18" customHeight="1" x14ac:dyDescent="0.25">
      <c r="A1205" s="495" t="s">
        <v>1759</v>
      </c>
      <c r="B1205" s="637"/>
      <c r="C1205" s="660">
        <v>9</v>
      </c>
      <c r="D1205" s="207">
        <v>19543055</v>
      </c>
      <c r="E1205" s="429"/>
      <c r="F1205" s="1437" t="s">
        <v>1102</v>
      </c>
      <c r="G1205" s="571" t="s">
        <v>40</v>
      </c>
      <c r="H1205" s="658">
        <v>1</v>
      </c>
      <c r="I1205" s="438">
        <v>36949658</v>
      </c>
      <c r="J1205" s="423"/>
      <c r="K1205" s="2443"/>
    </row>
    <row r="1206" spans="1:11" ht="18" customHeight="1" x14ac:dyDescent="0.25">
      <c r="A1206" s="495" t="s">
        <v>2152</v>
      </c>
      <c r="B1206" s="335" t="s">
        <v>40</v>
      </c>
      <c r="C1206" s="671">
        <v>3</v>
      </c>
      <c r="D1206" s="467">
        <v>19550163</v>
      </c>
      <c r="E1206" s="429"/>
      <c r="F1206" s="2313" t="s">
        <v>2624</v>
      </c>
      <c r="G1206" s="601" t="s">
        <v>40</v>
      </c>
      <c r="H1206" s="658">
        <v>12.1</v>
      </c>
      <c r="I1206" s="459">
        <v>37006146</v>
      </c>
      <c r="J1206" s="423"/>
      <c r="K1206" s="2443"/>
    </row>
    <row r="1207" spans="1:11" ht="18" customHeight="1" x14ac:dyDescent="0.25">
      <c r="A1207" s="1390" t="s">
        <v>2625</v>
      </c>
      <c r="B1207" s="335" t="s">
        <v>40</v>
      </c>
      <c r="C1207" s="660">
        <v>4.7300000000000004</v>
      </c>
      <c r="D1207" s="464">
        <v>19556201</v>
      </c>
      <c r="E1207" s="427"/>
      <c r="F1207" s="1390" t="s">
        <v>2625</v>
      </c>
      <c r="G1207" s="335" t="s">
        <v>40</v>
      </c>
      <c r="H1207" s="657">
        <v>8.5</v>
      </c>
      <c r="I1207" s="457">
        <v>37009643</v>
      </c>
      <c r="J1207" s="423"/>
      <c r="K1207" s="2443"/>
    </row>
    <row r="1208" spans="1:11" ht="18" customHeight="1" x14ac:dyDescent="0.25">
      <c r="A1208" s="524" t="s">
        <v>1102</v>
      </c>
      <c r="B1208" s="601" t="s">
        <v>40</v>
      </c>
      <c r="C1208" s="657">
        <v>4</v>
      </c>
      <c r="D1208" s="207">
        <v>19615184</v>
      </c>
      <c r="E1208" s="429"/>
      <c r="F1208" s="517" t="s">
        <v>503</v>
      </c>
      <c r="G1208" s="608"/>
      <c r="H1208" s="659"/>
      <c r="I1208" s="438">
        <v>37018568</v>
      </c>
      <c r="J1208" s="423"/>
      <c r="K1208" s="2443"/>
    </row>
    <row r="1209" spans="1:11" ht="18" customHeight="1" x14ac:dyDescent="0.25">
      <c r="A1209" s="1470" t="s">
        <v>503</v>
      </c>
      <c r="B1209" s="190"/>
      <c r="C1209" s="657"/>
      <c r="D1209" s="207">
        <v>19900650</v>
      </c>
      <c r="E1209" s="429"/>
      <c r="F1209" s="497" t="s">
        <v>1767</v>
      </c>
      <c r="G1209" s="572"/>
      <c r="H1209" s="658">
        <v>1</v>
      </c>
      <c r="I1209" s="438">
        <v>37018716</v>
      </c>
      <c r="J1209" s="423"/>
      <c r="K1209" s="2443"/>
    </row>
    <row r="1210" spans="1:11" ht="18" customHeight="1" x14ac:dyDescent="0.25">
      <c r="A1210" s="538"/>
      <c r="B1210" s="575"/>
      <c r="C1210" s="677"/>
      <c r="D1210" s="177"/>
      <c r="E1210" s="429"/>
      <c r="F1210" s="142"/>
      <c r="G1210" s="449"/>
      <c r="H1210" s="669"/>
      <c r="I1210" s="177"/>
      <c r="J1210" s="423"/>
      <c r="K1210" s="2443"/>
    </row>
    <row r="1211" spans="1:11" ht="18" customHeight="1" x14ac:dyDescent="0.25">
      <c r="A1211" s="448"/>
      <c r="B1211" s="575"/>
      <c r="C1211" s="685"/>
      <c r="D1211" s="229"/>
      <c r="E1211" s="429"/>
      <c r="F1211" s="448"/>
      <c r="G1211" s="575"/>
      <c r="H1211" s="730"/>
      <c r="I1211" s="229"/>
      <c r="J1211" s="423"/>
      <c r="K1211" s="2443"/>
    </row>
    <row r="1212" spans="1:11" ht="18" customHeight="1" x14ac:dyDescent="0.25">
      <c r="A1212" s="538"/>
      <c r="B1212" s="575"/>
      <c r="C1212" s="685"/>
      <c r="D1212" s="229"/>
      <c r="E1212" s="429"/>
      <c r="F1212" s="538"/>
      <c r="G1212" s="575"/>
      <c r="H1212" s="685"/>
      <c r="I1212" s="229"/>
      <c r="J1212" s="423"/>
      <c r="K1212" s="2443"/>
    </row>
    <row r="1213" spans="1:11" s="2" customFormat="1" ht="24" customHeight="1" x14ac:dyDescent="0.25">
      <c r="A1213" s="1437" t="s">
        <v>588</v>
      </c>
      <c r="B1213" s="611"/>
      <c r="C1213" s="2430" t="s">
        <v>480</v>
      </c>
      <c r="D1213" s="434"/>
      <c r="E1213" s="429"/>
      <c r="F1213" s="1437" t="s">
        <v>599</v>
      </c>
      <c r="G1213" s="611"/>
      <c r="H1213" s="2430" t="s">
        <v>480</v>
      </c>
      <c r="I1213" s="434" t="s">
        <v>600</v>
      </c>
      <c r="J1213" s="423"/>
      <c r="K1213" s="429"/>
    </row>
    <row r="1214" spans="1:11" s="2" customFormat="1" ht="18" customHeight="1" x14ac:dyDescent="0.25">
      <c r="A1214" s="523" t="s">
        <v>2585</v>
      </c>
      <c r="B1214" s="584"/>
      <c r="C1214" s="3059">
        <v>77</v>
      </c>
      <c r="D1214" s="461">
        <v>110216949</v>
      </c>
      <c r="E1214" s="429"/>
      <c r="F1214" s="2491" t="s">
        <v>2621</v>
      </c>
      <c r="G1214" s="584"/>
      <c r="H1214" s="670">
        <v>6359.1</v>
      </c>
      <c r="I1214" s="458">
        <v>16478016</v>
      </c>
      <c r="J1214" s="423"/>
      <c r="K1214" s="429"/>
    </row>
    <row r="1215" spans="1:11" s="2" customFormat="1" ht="18" customHeight="1" x14ac:dyDescent="0.25">
      <c r="A1215" s="540" t="s">
        <v>495</v>
      </c>
      <c r="B1215" s="242"/>
      <c r="C1215" s="658">
        <v>85.734999999999999</v>
      </c>
      <c r="D1215" s="333">
        <v>115366235</v>
      </c>
      <c r="E1215" s="429"/>
      <c r="F1215" s="1488" t="s">
        <v>1792</v>
      </c>
      <c r="G1215" s="570"/>
      <c r="H1215" s="658">
        <v>31.08</v>
      </c>
      <c r="I1215" s="455">
        <v>16501679</v>
      </c>
      <c r="J1215" s="423"/>
      <c r="K1215" s="429"/>
    </row>
    <row r="1216" spans="1:11" s="2" customFormat="1" ht="18" customHeight="1" x14ac:dyDescent="0.25">
      <c r="A1216" s="3058" t="s">
        <v>1488</v>
      </c>
      <c r="B1216" s="1835"/>
      <c r="C1216" s="657">
        <v>121</v>
      </c>
      <c r="D1216" s="3016">
        <v>115477276</v>
      </c>
      <c r="E1216" s="429"/>
      <c r="F1216" s="4745" t="s">
        <v>2792</v>
      </c>
      <c r="G1216" s="3289" t="s">
        <v>40</v>
      </c>
      <c r="H1216" s="657">
        <v>2405</v>
      </c>
      <c r="I1216" s="3016">
        <v>16519856</v>
      </c>
      <c r="J1216" s="423"/>
      <c r="K1216" s="429"/>
    </row>
    <row r="1217" spans="1:11" s="2" customFormat="1" ht="18" customHeight="1" x14ac:dyDescent="0.25">
      <c r="A1217" s="3286" t="s">
        <v>751</v>
      </c>
      <c r="B1217" s="3328"/>
      <c r="C1217" s="3285">
        <v>101.74</v>
      </c>
      <c r="D1217" s="3195">
        <v>116431200</v>
      </c>
      <c r="E1217" s="429"/>
      <c r="F1217" s="3286" t="s">
        <v>2478</v>
      </c>
      <c r="G1217" s="4737" t="s">
        <v>40</v>
      </c>
      <c r="H1217" s="3191">
        <v>2178.91</v>
      </c>
      <c r="I1217" s="3195">
        <v>16520216</v>
      </c>
      <c r="J1217" s="423"/>
      <c r="K1217" s="429"/>
    </row>
    <row r="1218" spans="1:11" s="2" customFormat="1" ht="18" customHeight="1" x14ac:dyDescent="0.25">
      <c r="A1218" s="2974" t="s">
        <v>2107</v>
      </c>
      <c r="B1218" s="3015" t="s">
        <v>40</v>
      </c>
      <c r="C1218" s="660">
        <v>100.3</v>
      </c>
      <c r="D1218" s="3016">
        <v>116431200</v>
      </c>
      <c r="E1218" s="429"/>
      <c r="F1218" s="1688" t="s">
        <v>2479</v>
      </c>
      <c r="G1218" s="3015" t="s">
        <v>40</v>
      </c>
      <c r="H1218" s="657">
        <v>1585.54</v>
      </c>
      <c r="I1218" s="3016">
        <v>16525479</v>
      </c>
      <c r="J1218" s="423"/>
      <c r="K1218" s="429"/>
    </row>
    <row r="1219" spans="1:11" s="2" customFormat="1" ht="18" customHeight="1" x14ac:dyDescent="0.25">
      <c r="A1219" s="2974" t="s">
        <v>2190</v>
      </c>
      <c r="B1219" s="3015" t="s">
        <v>40</v>
      </c>
      <c r="C1219" s="660">
        <v>178.3</v>
      </c>
      <c r="D1219" s="3016">
        <v>116844450</v>
      </c>
      <c r="E1219" s="429"/>
      <c r="F1219" s="1688" t="s">
        <v>2482</v>
      </c>
      <c r="G1219" s="3015" t="s">
        <v>40</v>
      </c>
      <c r="H1219" s="657">
        <v>2457.9</v>
      </c>
      <c r="I1219" s="3016">
        <v>16528745</v>
      </c>
      <c r="J1219" s="423"/>
      <c r="K1219" s="429"/>
    </row>
    <row r="1220" spans="1:11" s="2" customFormat="1" ht="18" customHeight="1" x14ac:dyDescent="0.25">
      <c r="A1220" s="2048" t="s">
        <v>958</v>
      </c>
      <c r="B1220" s="570"/>
      <c r="C1220" s="658">
        <v>55.03</v>
      </c>
      <c r="D1220" s="457">
        <v>120000797</v>
      </c>
      <c r="E1220" s="427"/>
      <c r="F1220" s="1469" t="s">
        <v>2480</v>
      </c>
      <c r="G1220" s="335" t="s">
        <v>40</v>
      </c>
      <c r="H1220" s="658">
        <v>1956.8</v>
      </c>
      <c r="I1220" s="457">
        <v>16528797</v>
      </c>
      <c r="J1220" s="423"/>
      <c r="K1220" s="429"/>
    </row>
    <row r="1221" spans="1:11" s="2" customFormat="1" ht="18" customHeight="1" x14ac:dyDescent="0.25">
      <c r="A1221" s="2974" t="s">
        <v>2621</v>
      </c>
      <c r="B1221" s="2043"/>
      <c r="C1221" s="658">
        <v>34919.599999999999</v>
      </c>
      <c r="D1221" s="1792">
        <v>127220893</v>
      </c>
      <c r="E1221" s="427"/>
      <c r="F1221" s="2974" t="s">
        <v>2469</v>
      </c>
      <c r="G1221" s="2850" t="s">
        <v>40</v>
      </c>
      <c r="H1221" s="658">
        <v>2370.67</v>
      </c>
      <c r="I1221" s="1792">
        <v>16529069</v>
      </c>
      <c r="J1221" s="423"/>
      <c r="K1221" s="429"/>
    </row>
    <row r="1222" spans="1:11" s="2" customFormat="1" ht="18" customHeight="1" x14ac:dyDescent="0.25">
      <c r="A1222" s="4749" t="s">
        <v>2792</v>
      </c>
      <c r="B1222" s="2850" t="s">
        <v>40</v>
      </c>
      <c r="C1222" s="658">
        <v>22446.9</v>
      </c>
      <c r="D1222" s="1792">
        <v>127561913</v>
      </c>
      <c r="E1222" s="427"/>
      <c r="F1222" s="4657" t="s">
        <v>2495</v>
      </c>
      <c r="G1222" s="2043" t="s">
        <v>40</v>
      </c>
      <c r="H1222" s="658">
        <v>260.42</v>
      </c>
      <c r="I1222" s="1792">
        <v>16539982</v>
      </c>
      <c r="J1222" s="423"/>
      <c r="K1222" s="429"/>
    </row>
    <row r="1223" spans="1:11" s="2" customFormat="1" ht="18" customHeight="1" x14ac:dyDescent="0.25">
      <c r="A1223" s="2796" t="s">
        <v>2478</v>
      </c>
      <c r="B1223" s="4729" t="s">
        <v>40</v>
      </c>
      <c r="C1223" s="659">
        <v>17418.8</v>
      </c>
      <c r="D1223" s="1792">
        <v>127577758</v>
      </c>
      <c r="E1223" s="427"/>
      <c r="F1223" s="2796" t="s">
        <v>2002</v>
      </c>
      <c r="G1223" s="2403" t="s">
        <v>40</v>
      </c>
      <c r="H1223" s="658">
        <v>228.89</v>
      </c>
      <c r="I1223" s="1792">
        <v>16539982</v>
      </c>
      <c r="J1223" s="423"/>
      <c r="K1223" s="429"/>
    </row>
    <row r="1224" spans="1:11" s="2" customFormat="1" ht="18" customHeight="1" x14ac:dyDescent="0.25">
      <c r="A1224" s="1390" t="s">
        <v>2482</v>
      </c>
      <c r="B1224" s="2043" t="s">
        <v>40</v>
      </c>
      <c r="C1224" s="697">
        <v>15839.7</v>
      </c>
      <c r="D1224" s="1792">
        <v>127674760</v>
      </c>
      <c r="E1224" s="427"/>
      <c r="F1224" s="3286" t="s">
        <v>2483</v>
      </c>
      <c r="G1224" s="3188" t="s">
        <v>40</v>
      </c>
      <c r="H1224" s="658">
        <v>1756.36</v>
      </c>
      <c r="I1224" s="1792">
        <v>16542426</v>
      </c>
      <c r="J1224" s="423"/>
      <c r="K1224" s="429"/>
    </row>
    <row r="1225" spans="1:11" s="2" customFormat="1" ht="18" customHeight="1" x14ac:dyDescent="0.25">
      <c r="A1225" s="1688" t="s">
        <v>2479</v>
      </c>
      <c r="B1225" s="335" t="s">
        <v>40</v>
      </c>
      <c r="C1225" s="658">
        <v>12383.86</v>
      </c>
      <c r="D1225" s="1754">
        <v>127674764</v>
      </c>
      <c r="E1225" s="427"/>
      <c r="F1225" s="1688" t="s">
        <v>748</v>
      </c>
      <c r="G1225" s="335" t="s">
        <v>40</v>
      </c>
      <c r="H1225" s="658">
        <v>220.55</v>
      </c>
      <c r="I1225" s="1754">
        <v>16552555</v>
      </c>
      <c r="J1225" s="423"/>
      <c r="K1225" s="429"/>
    </row>
    <row r="1226" spans="1:11" s="2" customFormat="1" ht="18" customHeight="1" x14ac:dyDescent="0.25">
      <c r="A1226" s="2975" t="s">
        <v>2469</v>
      </c>
      <c r="B1226" s="4733" t="s">
        <v>40</v>
      </c>
      <c r="C1226" s="659">
        <v>16052.14</v>
      </c>
      <c r="D1226" s="1792">
        <v>127722584</v>
      </c>
      <c r="E1226" s="427"/>
      <c r="F1226" s="2323" t="s">
        <v>2623</v>
      </c>
      <c r="G1226" s="1803"/>
      <c r="H1226" s="658">
        <v>266.8</v>
      </c>
      <c r="I1226" s="1792">
        <v>16555279</v>
      </c>
      <c r="J1226" s="423"/>
      <c r="K1226" s="429"/>
    </row>
    <row r="1227" spans="1:11" s="2" customFormat="1" ht="18" customHeight="1" x14ac:dyDescent="0.25">
      <c r="A1227" s="3286" t="s">
        <v>2480</v>
      </c>
      <c r="B1227" s="3188" t="s">
        <v>40</v>
      </c>
      <c r="C1227" s="657">
        <v>12481.33</v>
      </c>
      <c r="D1227" s="457">
        <v>127731049</v>
      </c>
      <c r="E1227" s="427"/>
      <c r="F1227" s="1688" t="s">
        <v>1833</v>
      </c>
      <c r="G1227" s="335" t="s">
        <v>40</v>
      </c>
      <c r="H1227" s="657">
        <v>44.865000000000002</v>
      </c>
      <c r="I1227" s="457">
        <v>16588020</v>
      </c>
      <c r="J1227" s="423"/>
      <c r="K1227" s="429"/>
    </row>
    <row r="1228" spans="1:11" s="2" customFormat="1" ht="18" customHeight="1" x14ac:dyDescent="0.25">
      <c r="A1228" s="1688" t="s">
        <v>2483</v>
      </c>
      <c r="B1228" s="335" t="s">
        <v>40</v>
      </c>
      <c r="C1228" s="697">
        <v>13303.75</v>
      </c>
      <c r="D1228" s="464">
        <v>127810662</v>
      </c>
      <c r="E1228" s="427"/>
      <c r="F1228" s="1761" t="s">
        <v>1826</v>
      </c>
      <c r="G1228" s="335" t="s">
        <v>40</v>
      </c>
      <c r="H1228" s="658">
        <v>32.216000000000001</v>
      </c>
      <c r="I1228" s="457">
        <v>16597504</v>
      </c>
      <c r="J1228" s="423"/>
      <c r="K1228" s="429"/>
    </row>
    <row r="1229" spans="1:11" s="2" customFormat="1" ht="18" customHeight="1" x14ac:dyDescent="0.25">
      <c r="A1229" s="4653" t="s">
        <v>2495</v>
      </c>
      <c r="B1229" s="1384" t="s">
        <v>40</v>
      </c>
      <c r="C1229" s="658">
        <v>1994.38</v>
      </c>
      <c r="D1229" s="1566">
        <v>128132274</v>
      </c>
      <c r="E1229" s="429"/>
      <c r="F1229" s="1488" t="s">
        <v>1101</v>
      </c>
      <c r="G1229" s="1384"/>
      <c r="H1229" s="658">
        <v>159.80000000000001</v>
      </c>
      <c r="I1229" s="1792">
        <v>16611118</v>
      </c>
      <c r="J1229" s="423"/>
      <c r="K1229" s="429"/>
    </row>
    <row r="1230" spans="1:11" s="2" customFormat="1" ht="18" customHeight="1" x14ac:dyDescent="0.25">
      <c r="A1230" s="1488" t="s">
        <v>2002</v>
      </c>
      <c r="B1230" s="1569" t="s">
        <v>40</v>
      </c>
      <c r="C1230" s="658">
        <v>1799.7</v>
      </c>
      <c r="D1230" s="457">
        <v>128163211</v>
      </c>
      <c r="E1230" s="427"/>
      <c r="F1230" s="2976" t="s">
        <v>2556</v>
      </c>
      <c r="G1230" s="1721"/>
      <c r="H1230" s="658">
        <v>26.78</v>
      </c>
      <c r="I1230" s="457">
        <v>16666691</v>
      </c>
      <c r="J1230" s="423"/>
      <c r="K1230" s="429"/>
    </row>
    <row r="1231" spans="1:11" s="2" customFormat="1" ht="18" customHeight="1" x14ac:dyDescent="0.25">
      <c r="A1231" s="493" t="s">
        <v>748</v>
      </c>
      <c r="B1231" s="339" t="s">
        <v>40</v>
      </c>
      <c r="C1231" s="659">
        <v>1681.7</v>
      </c>
      <c r="D1231" s="438">
        <v>128212446</v>
      </c>
      <c r="E1231" s="429"/>
      <c r="F1231" s="516" t="s">
        <v>2558</v>
      </c>
      <c r="G1231" s="569"/>
      <c r="H1231" s="658">
        <v>116.7</v>
      </c>
      <c r="I1231" s="438">
        <v>16675536</v>
      </c>
      <c r="J1231" s="423"/>
      <c r="K1231" s="429"/>
    </row>
    <row r="1232" spans="1:11" s="2" customFormat="1" ht="18" customHeight="1" x14ac:dyDescent="0.25">
      <c r="A1232" s="1410" t="s">
        <v>2623</v>
      </c>
      <c r="B1232" s="563"/>
      <c r="C1232" s="658">
        <v>2353.3000000000002</v>
      </c>
      <c r="D1232" s="438">
        <v>128409314</v>
      </c>
      <c r="E1232" s="429"/>
      <c r="F1232" s="495" t="s">
        <v>2026</v>
      </c>
      <c r="G1232" s="569"/>
      <c r="H1232" s="658">
        <v>10.5</v>
      </c>
      <c r="I1232" s="438">
        <v>16683553</v>
      </c>
      <c r="J1232" s="423"/>
      <c r="K1232" s="429"/>
    </row>
    <row r="1233" spans="1:11" s="2" customFormat="1" ht="18" customHeight="1" x14ac:dyDescent="0.25">
      <c r="A1233" s="1488" t="s">
        <v>1792</v>
      </c>
      <c r="B1233" s="1687"/>
      <c r="C1233" s="658">
        <v>218.12</v>
      </c>
      <c r="D1233" s="438">
        <v>128515426</v>
      </c>
      <c r="E1233" s="429"/>
      <c r="F1233" s="528" t="s">
        <v>1793</v>
      </c>
      <c r="G1233" s="1519"/>
      <c r="H1233" s="658">
        <v>9.968</v>
      </c>
      <c r="I1233" s="457">
        <v>16685151</v>
      </c>
      <c r="J1233" s="423"/>
      <c r="K1233" s="429"/>
    </row>
    <row r="1234" spans="1:11" s="2" customFormat="1" ht="18" customHeight="1" x14ac:dyDescent="0.25">
      <c r="A1234" s="1768" t="s">
        <v>1826</v>
      </c>
      <c r="B1234" s="335" t="s">
        <v>40</v>
      </c>
      <c r="C1234" s="659">
        <v>178.83500000000001</v>
      </c>
      <c r="D1234" s="457">
        <v>128722884</v>
      </c>
      <c r="E1234" s="429"/>
      <c r="F1234" s="511" t="s">
        <v>578</v>
      </c>
      <c r="G1234" s="335" t="s">
        <v>40</v>
      </c>
      <c r="H1234" s="657">
        <v>88.4</v>
      </c>
      <c r="I1234" s="456">
        <v>16703150</v>
      </c>
      <c r="J1234" s="423"/>
      <c r="K1234" s="429"/>
    </row>
    <row r="1235" spans="1:11" s="2" customFormat="1" ht="18" customHeight="1" x14ac:dyDescent="0.25">
      <c r="A1235" s="495" t="s">
        <v>1833</v>
      </c>
      <c r="B1235" s="335" t="s">
        <v>40</v>
      </c>
      <c r="C1235" s="659">
        <v>199.54599999999999</v>
      </c>
      <c r="D1235" s="438">
        <v>128934199</v>
      </c>
      <c r="E1235" s="429"/>
      <c r="F1235" s="3001" t="s">
        <v>2217</v>
      </c>
      <c r="G1235" s="335"/>
      <c r="H1235" s="657">
        <v>35.9</v>
      </c>
      <c r="I1235" s="442">
        <v>16703819</v>
      </c>
      <c r="J1235" s="427"/>
      <c r="K1235" s="429"/>
    </row>
    <row r="1236" spans="1:11" s="2" customFormat="1" ht="18" customHeight="1" x14ac:dyDescent="0.25">
      <c r="A1236" s="495" t="s">
        <v>1594</v>
      </c>
      <c r="B1236" s="1384" t="s">
        <v>40</v>
      </c>
      <c r="C1236" s="657">
        <v>34</v>
      </c>
      <c r="D1236" s="457">
        <v>129159450</v>
      </c>
      <c r="E1236" s="429"/>
      <c r="F1236" s="495" t="s">
        <v>575</v>
      </c>
      <c r="G1236" s="593"/>
      <c r="H1236" s="660">
        <v>19.260000000000002</v>
      </c>
      <c r="I1236" s="457">
        <v>16703833</v>
      </c>
      <c r="J1236" s="427"/>
      <c r="K1236" s="429"/>
    </row>
    <row r="1237" spans="1:11" s="2" customFormat="1" ht="18" customHeight="1" x14ac:dyDescent="0.25">
      <c r="A1237" s="494" t="s">
        <v>1101</v>
      </c>
      <c r="B1237" s="573"/>
      <c r="C1237" s="660">
        <v>1164.5899999999999</v>
      </c>
      <c r="D1237" s="456">
        <v>129210060</v>
      </c>
      <c r="E1237" s="429"/>
      <c r="F1237" s="2976" t="s">
        <v>2585</v>
      </c>
      <c r="G1237" s="579"/>
      <c r="H1237" s="658">
        <v>9</v>
      </c>
      <c r="I1237" s="455">
        <v>16706891</v>
      </c>
      <c r="J1237" s="427"/>
      <c r="K1237" s="429"/>
    </row>
    <row r="1238" spans="1:11" s="2" customFormat="1" ht="18" customHeight="1" x14ac:dyDescent="0.25">
      <c r="A1238" s="2972" t="s">
        <v>2558</v>
      </c>
      <c r="B1238" s="335"/>
      <c r="C1238" s="657">
        <v>1025.5</v>
      </c>
      <c r="D1238" s="442">
        <v>129454750</v>
      </c>
      <c r="E1238" s="429"/>
      <c r="F1238" s="493" t="s">
        <v>1790</v>
      </c>
      <c r="G1238" s="2055"/>
      <c r="H1238" s="658">
        <v>7.53</v>
      </c>
      <c r="I1238" s="438">
        <v>16714576</v>
      </c>
      <c r="J1238" s="427"/>
      <c r="K1238" s="429"/>
    </row>
    <row r="1239" spans="1:11" s="2" customFormat="1" ht="18" customHeight="1" x14ac:dyDescent="0.25">
      <c r="A1239" s="493" t="s">
        <v>1790</v>
      </c>
      <c r="B1239" s="2054"/>
      <c r="C1239" s="659">
        <v>71.597999999999999</v>
      </c>
      <c r="D1239" s="438">
        <v>129520576</v>
      </c>
      <c r="E1239" s="429"/>
      <c r="F1239" s="1455" t="s">
        <v>1594</v>
      </c>
      <c r="G1239" s="329" t="s">
        <v>40</v>
      </c>
      <c r="H1239" s="658">
        <v>3.657</v>
      </c>
      <c r="I1239" s="455">
        <v>16719472</v>
      </c>
      <c r="J1239" s="423"/>
      <c r="K1239" s="429"/>
    </row>
    <row r="1240" spans="1:11" s="2" customFormat="1" ht="18" customHeight="1" x14ac:dyDescent="0.25">
      <c r="A1240" s="494" t="s">
        <v>2026</v>
      </c>
      <c r="B1240" s="1853"/>
      <c r="C1240" s="659">
        <v>84.4</v>
      </c>
      <c r="D1240" s="455">
        <v>129551137</v>
      </c>
      <c r="E1240" s="429"/>
      <c r="F1240" s="497" t="s">
        <v>2135</v>
      </c>
      <c r="G1240" s="329" t="s">
        <v>40</v>
      </c>
      <c r="H1240" s="658">
        <v>74.2</v>
      </c>
      <c r="I1240" s="438">
        <v>16736589</v>
      </c>
      <c r="J1240" s="423"/>
      <c r="K1240" s="429"/>
    </row>
    <row r="1241" spans="1:11" s="2" customFormat="1" ht="18" customHeight="1" x14ac:dyDescent="0.25">
      <c r="A1241" s="3001" t="s">
        <v>2217</v>
      </c>
      <c r="B1241" s="615"/>
      <c r="C1241" s="658">
        <v>285.10000000000002</v>
      </c>
      <c r="D1241" s="455">
        <v>129551236</v>
      </c>
      <c r="E1241" s="429"/>
      <c r="F1241" s="1691" t="s">
        <v>1758</v>
      </c>
      <c r="G1241" s="2056"/>
      <c r="H1241" s="658">
        <v>31.7</v>
      </c>
      <c r="I1241" s="438">
        <v>16780057</v>
      </c>
      <c r="J1241" s="423"/>
      <c r="K1241" s="429"/>
    </row>
    <row r="1242" spans="1:11" s="2" customFormat="1" ht="18" customHeight="1" x14ac:dyDescent="0.25">
      <c r="A1242" s="511" t="s">
        <v>575</v>
      </c>
      <c r="B1242" s="578"/>
      <c r="C1242" s="676">
        <v>179</v>
      </c>
      <c r="D1242" s="457">
        <v>129559539</v>
      </c>
      <c r="E1242" s="429"/>
      <c r="F1242" s="499" t="s">
        <v>1756</v>
      </c>
      <c r="G1242" s="579" t="s">
        <v>40</v>
      </c>
      <c r="H1242" s="658">
        <v>9.8699999999999992</v>
      </c>
      <c r="I1242" s="464">
        <v>16783792</v>
      </c>
      <c r="J1242" s="423"/>
      <c r="K1242" s="429"/>
    </row>
    <row r="1243" spans="1:11" s="2" customFormat="1" ht="18" customHeight="1" x14ac:dyDescent="0.25">
      <c r="A1243" s="523" t="s">
        <v>2556</v>
      </c>
      <c r="B1243" s="2093"/>
      <c r="C1243" s="658">
        <v>241.68</v>
      </c>
      <c r="D1243" s="455">
        <v>129571018</v>
      </c>
      <c r="E1243" s="429"/>
      <c r="F1243" s="2978" t="s">
        <v>2134</v>
      </c>
      <c r="G1243" s="335"/>
      <c r="H1243" s="658">
        <v>14.4</v>
      </c>
      <c r="I1243" s="455">
        <v>16826303</v>
      </c>
      <c r="J1243" s="423"/>
      <c r="K1243" s="429"/>
    </row>
    <row r="1244" spans="1:11" s="2" customFormat="1" ht="18" customHeight="1" x14ac:dyDescent="0.25">
      <c r="A1244" s="493" t="s">
        <v>578</v>
      </c>
      <c r="B1244" s="582" t="s">
        <v>40</v>
      </c>
      <c r="C1244" s="659">
        <v>85.85</v>
      </c>
      <c r="D1244" s="455">
        <v>129608624</v>
      </c>
      <c r="E1244" s="429"/>
      <c r="F1244" s="2981" t="s">
        <v>2624</v>
      </c>
      <c r="G1244" s="335" t="s">
        <v>40</v>
      </c>
      <c r="H1244" s="658">
        <v>4.5999999999999996</v>
      </c>
      <c r="I1244" s="457">
        <v>16845027</v>
      </c>
      <c r="J1244" s="423"/>
      <c r="K1244" s="429"/>
    </row>
    <row r="1245" spans="1:11" s="2" customFormat="1" ht="18" customHeight="1" x14ac:dyDescent="0.25">
      <c r="A1245" s="518" t="s">
        <v>1793</v>
      </c>
      <c r="B1245" s="1727"/>
      <c r="C1245" s="658">
        <v>78.73</v>
      </c>
      <c r="D1245" s="457">
        <v>129617273</v>
      </c>
      <c r="E1245" s="429"/>
      <c r="F1245" s="2492" t="s">
        <v>2626</v>
      </c>
      <c r="G1245" s="1364"/>
      <c r="H1245" s="658">
        <v>1.71</v>
      </c>
      <c r="I1245" s="457">
        <v>16874822</v>
      </c>
      <c r="J1245" s="423"/>
      <c r="K1245" s="429"/>
    </row>
    <row r="1246" spans="1:11" s="2" customFormat="1" ht="18" customHeight="1" x14ac:dyDescent="0.25">
      <c r="A1246" s="511" t="s">
        <v>2135</v>
      </c>
      <c r="B1246" s="335" t="s">
        <v>40</v>
      </c>
      <c r="C1246" s="659">
        <v>625.79999999999995</v>
      </c>
      <c r="D1246" s="457">
        <v>129809071</v>
      </c>
      <c r="E1246" s="429"/>
      <c r="F1246" s="497" t="s">
        <v>1768</v>
      </c>
      <c r="G1246" s="1397"/>
      <c r="H1246" s="659">
        <v>1</v>
      </c>
      <c r="I1246" s="457">
        <v>16877426</v>
      </c>
      <c r="J1246" s="423"/>
      <c r="K1246" s="429"/>
    </row>
    <row r="1247" spans="1:11" s="2" customFormat="1" ht="18" customHeight="1" x14ac:dyDescent="0.25">
      <c r="A1247" s="1465" t="s">
        <v>1756</v>
      </c>
      <c r="B1247" s="585" t="s">
        <v>40</v>
      </c>
      <c r="C1247" s="659">
        <v>87.42</v>
      </c>
      <c r="D1247" s="455">
        <v>129873612</v>
      </c>
      <c r="E1247" s="429"/>
      <c r="F1247" s="497" t="s">
        <v>1767</v>
      </c>
      <c r="G1247" s="606"/>
      <c r="H1247" s="658">
        <v>3</v>
      </c>
      <c r="I1247" s="459">
        <v>16896558</v>
      </c>
      <c r="J1247" s="423"/>
      <c r="K1247" s="429"/>
    </row>
    <row r="1248" spans="1:11" s="2" customFormat="1" ht="18" customHeight="1" x14ac:dyDescent="0.25">
      <c r="A1248" s="3003" t="s">
        <v>2134</v>
      </c>
      <c r="B1248" s="335"/>
      <c r="C1248" s="659">
        <v>75.400000000000006</v>
      </c>
      <c r="D1248" s="457">
        <v>130175821</v>
      </c>
      <c r="E1248" s="429"/>
      <c r="F1248" s="2981" t="s">
        <v>2152</v>
      </c>
      <c r="G1248" s="335" t="s">
        <v>40</v>
      </c>
      <c r="H1248" s="658">
        <v>3</v>
      </c>
      <c r="I1248" s="457">
        <v>16901467</v>
      </c>
      <c r="J1248" s="423"/>
      <c r="K1248" s="429"/>
    </row>
    <row r="1249" spans="1:11" s="2" customFormat="1" ht="18" customHeight="1" x14ac:dyDescent="0.25">
      <c r="A1249" s="493" t="s">
        <v>1758</v>
      </c>
      <c r="B1249" s="606"/>
      <c r="C1249" s="658">
        <v>257.89999999999998</v>
      </c>
      <c r="D1249" s="455">
        <v>130496371</v>
      </c>
      <c r="E1249" s="429"/>
      <c r="F1249" s="555" t="s">
        <v>958</v>
      </c>
      <c r="G1249" s="335"/>
      <c r="H1249" s="658">
        <v>25</v>
      </c>
      <c r="I1249" s="438">
        <v>16904624</v>
      </c>
      <c r="J1249" s="423"/>
      <c r="K1249" s="429"/>
    </row>
    <row r="1250" spans="1:11" s="2" customFormat="1" ht="18" customHeight="1" x14ac:dyDescent="0.25">
      <c r="A1250" s="523" t="s">
        <v>2626</v>
      </c>
      <c r="B1250" s="1858"/>
      <c r="C1250" s="659">
        <v>20.797000000000001</v>
      </c>
      <c r="D1250" s="455">
        <v>130604852</v>
      </c>
      <c r="E1250" s="429"/>
      <c r="F1250" s="495" t="s">
        <v>1759</v>
      </c>
      <c r="G1250" s="2094"/>
      <c r="H1250" s="659">
        <v>11</v>
      </c>
      <c r="I1250" s="438">
        <v>16909328</v>
      </c>
      <c r="J1250" s="423"/>
      <c r="K1250" s="429"/>
    </row>
    <row r="1251" spans="1:11" s="2" customFormat="1" ht="18" customHeight="1" x14ac:dyDescent="0.25">
      <c r="A1251" s="2496" t="s">
        <v>2152</v>
      </c>
      <c r="B1251" s="335" t="s">
        <v>40</v>
      </c>
      <c r="C1251" s="658">
        <v>30</v>
      </c>
      <c r="D1251" s="439">
        <v>130715460</v>
      </c>
      <c r="E1251" s="429"/>
      <c r="F1251" s="1437" t="s">
        <v>1102</v>
      </c>
      <c r="G1251" s="335" t="s">
        <v>40</v>
      </c>
      <c r="H1251" s="658">
        <v>1</v>
      </c>
      <c r="I1251" s="438">
        <v>16926033</v>
      </c>
      <c r="J1251" s="423"/>
      <c r="K1251" s="429"/>
    </row>
    <row r="1252" spans="1:11" s="2" customFormat="1" ht="18" customHeight="1" x14ac:dyDescent="0.25">
      <c r="A1252" s="493" t="s">
        <v>921</v>
      </c>
      <c r="B1252" s="582"/>
      <c r="C1252" s="659">
        <v>43.9</v>
      </c>
      <c r="D1252" s="455">
        <v>130747250</v>
      </c>
      <c r="E1252" s="429"/>
      <c r="F1252" s="2313" t="s">
        <v>1100</v>
      </c>
      <c r="G1252" s="601" t="s">
        <v>40</v>
      </c>
      <c r="H1252" s="658">
        <v>4.8499999999999996</v>
      </c>
      <c r="I1252" s="438">
        <v>16928151</v>
      </c>
      <c r="J1252" s="423"/>
      <c r="K1252" s="429"/>
    </row>
    <row r="1253" spans="1:11" s="2" customFormat="1" ht="18" customHeight="1" x14ac:dyDescent="0.25">
      <c r="A1253" s="1399" t="s">
        <v>1711</v>
      </c>
      <c r="B1253" s="641" t="s">
        <v>40</v>
      </c>
      <c r="C1253" s="659">
        <v>28.617000000000001</v>
      </c>
      <c r="D1253" s="455">
        <v>130807057</v>
      </c>
      <c r="E1253" s="429"/>
      <c r="F1253" s="2975" t="s">
        <v>2190</v>
      </c>
      <c r="G1253" s="335" t="s">
        <v>40</v>
      </c>
      <c r="H1253" s="658">
        <v>7.4</v>
      </c>
      <c r="I1253" s="438">
        <v>16928635</v>
      </c>
      <c r="J1253" s="423"/>
      <c r="K1253" s="429"/>
    </row>
    <row r="1254" spans="1:11" s="2" customFormat="1" ht="18" customHeight="1" x14ac:dyDescent="0.25">
      <c r="A1254" s="510" t="s">
        <v>1959</v>
      </c>
      <c r="B1254" s="593"/>
      <c r="C1254" s="659">
        <v>3</v>
      </c>
      <c r="D1254" s="438">
        <v>130816020</v>
      </c>
      <c r="E1254" s="429"/>
      <c r="F1254" s="493" t="s">
        <v>921</v>
      </c>
      <c r="G1254" s="335"/>
      <c r="H1254" s="658">
        <v>5.51</v>
      </c>
      <c r="I1254" s="438">
        <v>16928635</v>
      </c>
      <c r="J1254" s="423"/>
      <c r="K1254" s="429"/>
    </row>
    <row r="1255" spans="1:11" s="2" customFormat="1" ht="18" customHeight="1" x14ac:dyDescent="0.25">
      <c r="A1255" s="2498" t="s">
        <v>1100</v>
      </c>
      <c r="B1255" s="339" t="s">
        <v>40</v>
      </c>
      <c r="C1255" s="658">
        <v>37</v>
      </c>
      <c r="D1255" s="438">
        <v>130844157</v>
      </c>
      <c r="E1255" s="429"/>
      <c r="F1255" s="493" t="s">
        <v>1711</v>
      </c>
      <c r="G1255" s="314" t="s">
        <v>40</v>
      </c>
      <c r="H1255" s="658">
        <v>4.88</v>
      </c>
      <c r="I1255" s="239">
        <v>16929357</v>
      </c>
      <c r="J1255" s="423"/>
      <c r="K1255" s="429"/>
    </row>
    <row r="1256" spans="1:11" s="2" customFormat="1" ht="18" customHeight="1" x14ac:dyDescent="0.25">
      <c r="A1256" s="497" t="s">
        <v>1768</v>
      </c>
      <c r="B1256" s="642"/>
      <c r="C1256" s="659">
        <v>22</v>
      </c>
      <c r="D1256" s="239">
        <v>130859451</v>
      </c>
      <c r="E1256" s="429"/>
      <c r="F1256" s="510" t="s">
        <v>2625</v>
      </c>
      <c r="G1256" s="2093" t="s">
        <v>40</v>
      </c>
      <c r="H1256" s="658">
        <v>4.2</v>
      </c>
      <c r="I1256" s="438">
        <v>16997342</v>
      </c>
      <c r="J1256" s="423"/>
      <c r="K1256" s="429"/>
    </row>
    <row r="1257" spans="1:11" s="2" customFormat="1" ht="18" customHeight="1" x14ac:dyDescent="0.25">
      <c r="A1257" s="2313" t="s">
        <v>2624</v>
      </c>
      <c r="B1257" s="335" t="s">
        <v>40</v>
      </c>
      <c r="C1257" s="659">
        <v>63.3</v>
      </c>
      <c r="D1257" s="438">
        <v>130882436</v>
      </c>
      <c r="E1257" s="429"/>
      <c r="F1257" s="1390" t="s">
        <v>1959</v>
      </c>
      <c r="G1257" s="570"/>
      <c r="H1257" s="658">
        <v>1</v>
      </c>
      <c r="I1257" s="438">
        <v>17001003</v>
      </c>
      <c r="J1257" s="423"/>
      <c r="K1257" s="429"/>
    </row>
    <row r="1258" spans="1:11" s="2" customFormat="1" ht="18" customHeight="1" x14ac:dyDescent="0.25">
      <c r="A1258" s="511" t="s">
        <v>1767</v>
      </c>
      <c r="B1258" s="573"/>
      <c r="C1258" s="660">
        <v>9</v>
      </c>
      <c r="D1258" s="457">
        <v>131060611</v>
      </c>
      <c r="E1258" s="427"/>
      <c r="F1258" s="496" t="s">
        <v>503</v>
      </c>
      <c r="G1258" s="570"/>
      <c r="H1258" s="657"/>
      <c r="I1258" s="457">
        <v>17277593</v>
      </c>
      <c r="J1258" s="423"/>
      <c r="K1258" s="429"/>
    </row>
    <row r="1259" spans="1:11" s="2" customFormat="1" ht="18" customHeight="1" x14ac:dyDescent="0.25">
      <c r="A1259" s="495" t="s">
        <v>1759</v>
      </c>
      <c r="B1259" s="573"/>
      <c r="C1259" s="659">
        <v>94</v>
      </c>
      <c r="D1259" s="438">
        <v>131082737</v>
      </c>
      <c r="E1259" s="429"/>
      <c r="F1259" s="1769" t="s">
        <v>590</v>
      </c>
      <c r="G1259" s="640"/>
      <c r="H1259" s="658"/>
      <c r="I1259" s="453" t="s">
        <v>481</v>
      </c>
      <c r="J1259" s="423"/>
      <c r="K1259" s="429"/>
    </row>
    <row r="1260" spans="1:11" s="2" customFormat="1" ht="18" customHeight="1" x14ac:dyDescent="0.25">
      <c r="A1260" s="524" t="s">
        <v>1102</v>
      </c>
      <c r="B1260" s="601" t="s">
        <v>40</v>
      </c>
      <c r="C1260" s="658">
        <v>44</v>
      </c>
      <c r="D1260" s="438">
        <v>131092311</v>
      </c>
      <c r="E1260" s="429"/>
      <c r="F1260" s="556" t="s">
        <v>493</v>
      </c>
      <c r="G1260" s="335"/>
      <c r="H1260" s="664"/>
      <c r="I1260" s="453" t="s">
        <v>481</v>
      </c>
      <c r="J1260" s="423"/>
      <c r="K1260" s="429"/>
    </row>
    <row r="1261" spans="1:11" s="2" customFormat="1" ht="18" customHeight="1" x14ac:dyDescent="0.25">
      <c r="A1261" s="2091" t="s">
        <v>591</v>
      </c>
      <c r="B1261" s="563" t="s">
        <v>40</v>
      </c>
      <c r="C1261" s="658">
        <f>5.8+15.6+10.3+14.5+12.8+14.1+18.2+17+29.7+21.7+19.6+19.7+23+25.4+24.3+19.9+27.2+21.1+26.2+24.2+27.5+26.8+36.3+35.4</f>
        <v>516.29999999999995</v>
      </c>
      <c r="D1261" s="438">
        <v>131231214</v>
      </c>
      <c r="E1261" s="429"/>
      <c r="F1261" s="1486" t="s">
        <v>494</v>
      </c>
      <c r="G1261" s="394" t="s">
        <v>40</v>
      </c>
      <c r="H1261" s="664"/>
      <c r="I1261" s="1464" t="s">
        <v>481</v>
      </c>
      <c r="J1261" s="423"/>
      <c r="K1261" s="429"/>
    </row>
    <row r="1262" spans="1:11" s="2" customFormat="1" ht="18" customHeight="1" x14ac:dyDescent="0.25">
      <c r="A1262" s="1390" t="s">
        <v>2625</v>
      </c>
      <c r="B1262" s="335" t="s">
        <v>40</v>
      </c>
      <c r="C1262" s="659">
        <v>30.21</v>
      </c>
      <c r="D1262" s="2092">
        <v>131281420</v>
      </c>
      <c r="E1262" s="429"/>
      <c r="F1262" s="562"/>
      <c r="G1262" s="575"/>
      <c r="H1262" s="685"/>
      <c r="I1262" s="229"/>
      <c r="J1262" s="423"/>
      <c r="K1262" s="429"/>
    </row>
    <row r="1263" spans="1:11" s="2" customFormat="1" ht="18" customHeight="1" x14ac:dyDescent="0.25">
      <c r="A1263" s="1470" t="s">
        <v>503</v>
      </c>
      <c r="B1263" s="1487"/>
      <c r="C1263" s="662"/>
      <c r="D1263" s="492">
        <v>131430398</v>
      </c>
      <c r="E1263" s="429"/>
      <c r="F1263" s="561"/>
      <c r="G1263" s="561"/>
      <c r="H1263" s="677"/>
      <c r="I1263" s="229"/>
      <c r="J1263" s="423"/>
      <c r="K1263" s="429"/>
    </row>
    <row r="1264" spans="1:11" s="2" customFormat="1" ht="18" customHeight="1" x14ac:dyDescent="0.25">
      <c r="A1264" s="538"/>
      <c r="B1264" s="575"/>
      <c r="C1264" s="677"/>
      <c r="D1264" s="177"/>
      <c r="E1264" s="429"/>
      <c r="F1264" s="448"/>
      <c r="G1264" s="575"/>
      <c r="H1264" s="685"/>
      <c r="I1264" s="229"/>
      <c r="J1264" s="423"/>
      <c r="K1264" s="429"/>
    </row>
    <row r="1265" spans="1:11" s="2" customFormat="1" ht="18" customHeight="1" x14ac:dyDescent="0.25">
      <c r="A1265" s="140" t="s">
        <v>2744</v>
      </c>
      <c r="B1265" s="140"/>
      <c r="D1265" s="446"/>
      <c r="E1265" s="429"/>
      <c r="F1265" s="478"/>
      <c r="G1265" s="478"/>
      <c r="H1265" s="711"/>
      <c r="I1265" s="478"/>
      <c r="J1265" s="423"/>
      <c r="K1265" s="429"/>
    </row>
    <row r="1266" spans="1:11" s="2" customFormat="1" ht="18" customHeight="1" x14ac:dyDescent="0.25">
      <c r="A1266" s="140" t="s">
        <v>2745</v>
      </c>
      <c r="B1266" s="140"/>
      <c r="C1266" s="673"/>
      <c r="D1266" s="177"/>
      <c r="E1266" s="429"/>
      <c r="F1266" s="481"/>
      <c r="G1266" s="481"/>
      <c r="H1266" s="716"/>
      <c r="I1266" s="481"/>
      <c r="J1266" s="423"/>
      <c r="K1266" s="429"/>
    </row>
    <row r="1267" spans="1:11" ht="18" customHeight="1" x14ac:dyDescent="0.25">
      <c r="A1267" s="142" t="s">
        <v>2746</v>
      </c>
      <c r="B1267" s="142"/>
      <c r="C1267" s="673"/>
      <c r="D1267" s="177"/>
      <c r="E1267" s="429"/>
      <c r="F1267" s="478"/>
      <c r="G1267" s="478"/>
      <c r="H1267" s="711"/>
      <c r="I1267" s="478"/>
      <c r="J1267" s="423"/>
      <c r="K1267" s="2443"/>
    </row>
    <row r="1268" spans="1:11" ht="18" customHeight="1" x14ac:dyDescent="0.25">
      <c r="A1268" s="449"/>
      <c r="B1268" s="449"/>
      <c r="C1268" s="673"/>
      <c r="D1268" s="177"/>
      <c r="E1268" s="429"/>
      <c r="F1268" s="478"/>
      <c r="G1268" s="478"/>
      <c r="H1268" s="711"/>
      <c r="I1268" s="478"/>
      <c r="J1268" s="430"/>
      <c r="K1268" s="2443"/>
    </row>
    <row r="1269" spans="1:11" ht="24.75" customHeight="1" x14ac:dyDescent="0.25">
      <c r="A1269" s="650" t="s">
        <v>1621</v>
      </c>
      <c r="B1269" s="446"/>
      <c r="C1269" s="2"/>
      <c r="D1269" s="446"/>
      <c r="E1269" s="429"/>
      <c r="F1269" s="478"/>
      <c r="G1269" s="478"/>
      <c r="H1269" s="711"/>
      <c r="I1269" s="478"/>
      <c r="J1269" s="423"/>
      <c r="K1269" s="2443"/>
    </row>
    <row r="1270" spans="1:11" ht="18" customHeight="1" thickBot="1" x14ac:dyDescent="0.3">
      <c r="A1270" s="447"/>
      <c r="B1270" s="447"/>
      <c r="C1270" s="424"/>
      <c r="D1270" s="447"/>
      <c r="E1270" s="431"/>
      <c r="F1270" s="479"/>
      <c r="G1270" s="479"/>
      <c r="H1270" s="712"/>
      <c r="I1270" s="479"/>
      <c r="J1270" s="423"/>
      <c r="K1270" s="2443"/>
    </row>
    <row r="1271" spans="1:11" ht="23.1" customHeight="1" thickTop="1" x14ac:dyDescent="0.25">
      <c r="A1271" s="448"/>
      <c r="B1271" s="448"/>
      <c r="C1271" s="426"/>
      <c r="D1271" s="448"/>
      <c r="E1271" s="432"/>
      <c r="F1271" s="478"/>
      <c r="G1271" s="478"/>
      <c r="H1271" s="711"/>
      <c r="I1271" s="478"/>
      <c r="J1271" s="423"/>
      <c r="K1271" s="2443"/>
    </row>
    <row r="1272" spans="1:11" ht="4.5" customHeight="1" x14ac:dyDescent="0.25">
      <c r="A1272" s="542"/>
      <c r="B1272" s="446"/>
      <c r="C1272" s="2"/>
      <c r="D1272" s="446"/>
      <c r="E1272" s="429"/>
      <c r="F1272" s="542"/>
      <c r="G1272" s="446"/>
      <c r="H1272" s="2"/>
      <c r="I1272" s="446"/>
      <c r="J1272" s="423"/>
      <c r="K1272" s="2443"/>
    </row>
    <row r="1273" spans="1:11" ht="24" customHeight="1" x14ac:dyDescent="0.25">
      <c r="A1273" s="1624" t="s">
        <v>594</v>
      </c>
      <c r="B1273" s="603"/>
      <c r="C1273" s="2430" t="s">
        <v>480</v>
      </c>
      <c r="D1273" s="435" t="s">
        <v>595</v>
      </c>
      <c r="E1273" s="429"/>
      <c r="F1273" s="1624" t="s">
        <v>498</v>
      </c>
      <c r="G1273" s="603"/>
      <c r="H1273" s="2430" t="s">
        <v>480</v>
      </c>
      <c r="I1273" s="435" t="s">
        <v>499</v>
      </c>
      <c r="J1273" s="423"/>
      <c r="K1273" s="2443"/>
    </row>
    <row r="1274" spans="1:11" ht="18" customHeight="1" x14ac:dyDescent="0.25">
      <c r="A1274" s="543" t="s">
        <v>2139</v>
      </c>
      <c r="B1274" s="619"/>
      <c r="C1274" s="686"/>
      <c r="D1274" s="469">
        <v>1220000</v>
      </c>
      <c r="E1274" s="429"/>
      <c r="F1274" s="543" t="s">
        <v>2140</v>
      </c>
      <c r="G1274" s="619"/>
      <c r="H1274" s="686"/>
      <c r="I1274" s="469">
        <f>32299256-28096441</f>
        <v>4202815</v>
      </c>
      <c r="J1274" s="429"/>
      <c r="K1274" s="2443"/>
    </row>
    <row r="1275" spans="1:11" ht="18" customHeight="1" x14ac:dyDescent="0.25">
      <c r="A1275" s="544" t="s">
        <v>2137</v>
      </c>
      <c r="B1275" s="619"/>
      <c r="C1275" s="687"/>
      <c r="D1275" s="469">
        <v>14108307</v>
      </c>
      <c r="E1275" s="429"/>
      <c r="F1275" s="544" t="s">
        <v>2138</v>
      </c>
      <c r="G1275" s="619"/>
      <c r="H1275" s="687"/>
      <c r="I1275" s="469">
        <v>28096441</v>
      </c>
      <c r="J1275" s="429"/>
      <c r="K1275" s="2443"/>
    </row>
    <row r="1276" spans="1:11" ht="18" customHeight="1" x14ac:dyDescent="0.25">
      <c r="A1276" s="2976" t="s">
        <v>2621</v>
      </c>
      <c r="B1276" s="565"/>
      <c r="C1276" s="3052">
        <v>5249.8</v>
      </c>
      <c r="D1276" s="3054">
        <v>15117445</v>
      </c>
      <c r="E1276" s="429"/>
      <c r="F1276" s="523" t="s">
        <v>2621</v>
      </c>
      <c r="G1276" s="3056"/>
      <c r="H1276" s="3057">
        <v>10172.5</v>
      </c>
      <c r="I1276" s="458">
        <v>32135556</v>
      </c>
      <c r="J1276" s="429"/>
      <c r="K1276" s="2443"/>
    </row>
    <row r="1277" spans="1:11" ht="18" customHeight="1" x14ac:dyDescent="0.25">
      <c r="A1277" s="1410" t="s">
        <v>2627</v>
      </c>
      <c r="B1277" s="1784"/>
      <c r="C1277" s="1771">
        <v>3958.4</v>
      </c>
      <c r="D1277" s="1792">
        <v>15119176</v>
      </c>
      <c r="E1277" s="429"/>
      <c r="F1277" s="1410" t="s">
        <v>2627</v>
      </c>
      <c r="G1277" s="1790"/>
      <c r="H1277" s="731">
        <v>8237.2000000000007</v>
      </c>
      <c r="I1277" s="1792">
        <v>32138123</v>
      </c>
      <c r="J1277" s="429"/>
      <c r="K1277" s="2443"/>
    </row>
    <row r="1278" spans="1:11" ht="18" customHeight="1" x14ac:dyDescent="0.25">
      <c r="A1278" s="3286" t="s">
        <v>2478</v>
      </c>
      <c r="B1278" s="4737" t="s">
        <v>40</v>
      </c>
      <c r="C1278" s="2795">
        <v>2047.16</v>
      </c>
      <c r="D1278" s="3195">
        <v>15134856</v>
      </c>
      <c r="E1278" s="429"/>
      <c r="F1278" s="3293" t="s">
        <v>2556</v>
      </c>
      <c r="G1278" s="3196"/>
      <c r="H1278" s="3200">
        <v>48.44</v>
      </c>
      <c r="I1278" s="3195">
        <v>32145793</v>
      </c>
      <c r="J1278" s="429"/>
      <c r="K1278" s="2443"/>
    </row>
    <row r="1279" spans="1:11" ht="18" customHeight="1" x14ac:dyDescent="0.25">
      <c r="A1279" s="4749" t="s">
        <v>2792</v>
      </c>
      <c r="B1279" s="2850" t="s">
        <v>40</v>
      </c>
      <c r="C1279" s="2041">
        <v>2154.5</v>
      </c>
      <c r="D1279" s="1792">
        <v>15134877</v>
      </c>
      <c r="E1279" s="429"/>
      <c r="F1279" s="2437" t="s">
        <v>2478</v>
      </c>
      <c r="G1279" s="2850" t="s">
        <v>40</v>
      </c>
      <c r="H1279" s="2210">
        <v>4108.18</v>
      </c>
      <c r="I1279" s="1792">
        <v>32155497</v>
      </c>
      <c r="J1279" s="429"/>
      <c r="K1279" s="2443"/>
    </row>
    <row r="1280" spans="1:11" ht="18" customHeight="1" x14ac:dyDescent="0.25">
      <c r="A1280" s="3032" t="s">
        <v>2482</v>
      </c>
      <c r="B1280" s="1835" t="s">
        <v>40</v>
      </c>
      <c r="C1280" s="2795">
        <v>1971.6</v>
      </c>
      <c r="D1280" s="3016">
        <v>15144375</v>
      </c>
      <c r="E1280" s="429"/>
      <c r="F1280" s="4745" t="s">
        <v>2792</v>
      </c>
      <c r="G1280" s="3289" t="s">
        <v>40</v>
      </c>
      <c r="H1280" s="3021">
        <v>4483.5</v>
      </c>
      <c r="I1280" s="3016">
        <v>32155966</v>
      </c>
      <c r="J1280" s="429"/>
      <c r="K1280" s="2443"/>
    </row>
    <row r="1281" spans="1:11" ht="18" customHeight="1" x14ac:dyDescent="0.25">
      <c r="A1281" s="3293" t="s">
        <v>2469</v>
      </c>
      <c r="B1281" s="4727" t="s">
        <v>40</v>
      </c>
      <c r="C1281" s="2795">
        <v>2084.63</v>
      </c>
      <c r="D1281" s="3016">
        <v>15144494</v>
      </c>
      <c r="E1281" s="429"/>
      <c r="F1281" s="2957" t="s">
        <v>2623</v>
      </c>
      <c r="G1281" s="3015"/>
      <c r="H1281" s="3021">
        <v>702.8</v>
      </c>
      <c r="I1281" s="3016">
        <v>32161191</v>
      </c>
      <c r="J1281" s="429"/>
      <c r="K1281" s="2443"/>
    </row>
    <row r="1282" spans="1:11" ht="18" customHeight="1" x14ac:dyDescent="0.25">
      <c r="A1282" s="1688" t="s">
        <v>2483</v>
      </c>
      <c r="B1282" s="3015" t="s">
        <v>40</v>
      </c>
      <c r="C1282" s="2795">
        <v>1601.37</v>
      </c>
      <c r="D1282" s="3019">
        <v>15146456</v>
      </c>
      <c r="E1282" s="429"/>
      <c r="F1282" s="1688" t="s">
        <v>1758</v>
      </c>
      <c r="G1282" s="3015"/>
      <c r="H1282" s="3021">
        <v>162.1</v>
      </c>
      <c r="I1282" s="3016">
        <v>32171161</v>
      </c>
      <c r="J1282" s="429"/>
      <c r="K1282" s="2443"/>
    </row>
    <row r="1283" spans="1:11" ht="18" customHeight="1" x14ac:dyDescent="0.25">
      <c r="A1283" s="4644" t="s">
        <v>2495</v>
      </c>
      <c r="B1283" s="2403" t="s">
        <v>40</v>
      </c>
      <c r="C1283" s="2795">
        <v>242.53</v>
      </c>
      <c r="D1283" s="1792">
        <v>15164862</v>
      </c>
      <c r="E1283" s="429"/>
      <c r="F1283" s="2796" t="s">
        <v>2482</v>
      </c>
      <c r="G1283" s="2403" t="s">
        <v>40</v>
      </c>
      <c r="H1283" s="2210">
        <v>3976.78</v>
      </c>
      <c r="I1283" s="1792">
        <v>32173768</v>
      </c>
      <c r="J1283" s="429"/>
      <c r="K1283" s="2443"/>
    </row>
    <row r="1284" spans="1:11" ht="18" customHeight="1" x14ac:dyDescent="0.25">
      <c r="A1284" s="1488" t="s">
        <v>2002</v>
      </c>
      <c r="B1284" s="1384" t="s">
        <v>40</v>
      </c>
      <c r="C1284" s="658">
        <v>211.5</v>
      </c>
      <c r="D1284" s="1566">
        <v>15164862</v>
      </c>
      <c r="E1284" s="429"/>
      <c r="F1284" s="3293" t="s">
        <v>2469</v>
      </c>
      <c r="G1284" s="4727" t="s">
        <v>40</v>
      </c>
      <c r="H1284" s="731">
        <v>4595.6400000000003</v>
      </c>
      <c r="I1284" s="1792">
        <v>32174050</v>
      </c>
      <c r="J1284" s="429"/>
      <c r="K1284" s="2443"/>
    </row>
    <row r="1285" spans="1:11" ht="18" customHeight="1" x14ac:dyDescent="0.25">
      <c r="A1285" s="2957" t="s">
        <v>2623</v>
      </c>
      <c r="B1285" s="2043"/>
      <c r="C1285" s="658">
        <v>286</v>
      </c>
      <c r="D1285" s="1792">
        <v>15167242</v>
      </c>
      <c r="E1285" s="429"/>
      <c r="F1285" s="1688" t="s">
        <v>2483</v>
      </c>
      <c r="G1285" s="2043" t="s">
        <v>40</v>
      </c>
      <c r="H1285" s="731">
        <v>3510.92</v>
      </c>
      <c r="I1285" s="1792">
        <v>32175052</v>
      </c>
      <c r="J1285" s="429"/>
      <c r="K1285" s="2443"/>
    </row>
    <row r="1286" spans="1:11" ht="18" customHeight="1" x14ac:dyDescent="0.25">
      <c r="A1286" s="493" t="s">
        <v>748</v>
      </c>
      <c r="B1286" s="2043" t="s">
        <v>40</v>
      </c>
      <c r="C1286" s="658">
        <v>193.67</v>
      </c>
      <c r="D1286" s="1792">
        <v>15170434</v>
      </c>
      <c r="E1286" s="429"/>
      <c r="F1286" s="1390" t="s">
        <v>1792</v>
      </c>
      <c r="G1286" s="1869"/>
      <c r="H1286" s="731">
        <v>53.83</v>
      </c>
      <c r="I1286" s="1792">
        <v>32176161</v>
      </c>
      <c r="J1286" s="429"/>
      <c r="K1286" s="2443"/>
    </row>
    <row r="1287" spans="1:11" ht="18" customHeight="1" x14ac:dyDescent="0.25">
      <c r="A1287" s="1390" t="s">
        <v>1792</v>
      </c>
      <c r="B1287" s="2160"/>
      <c r="C1287" s="658">
        <v>25.55</v>
      </c>
      <c r="D1287" s="1792">
        <v>15177001</v>
      </c>
      <c r="E1287" s="429"/>
      <c r="F1287" s="1390" t="s">
        <v>748</v>
      </c>
      <c r="G1287" s="1803" t="s">
        <v>40</v>
      </c>
      <c r="H1287" s="731">
        <v>411.85</v>
      </c>
      <c r="I1287" s="1792">
        <v>32180631</v>
      </c>
      <c r="J1287" s="429"/>
      <c r="K1287" s="2443"/>
    </row>
    <row r="1288" spans="1:11" ht="18" customHeight="1" x14ac:dyDescent="0.25">
      <c r="A1288" s="2980" t="s">
        <v>2556</v>
      </c>
      <c r="B1288" s="335"/>
      <c r="C1288" s="658">
        <v>24.15</v>
      </c>
      <c r="D1288" s="457">
        <v>15177255</v>
      </c>
      <c r="E1288" s="429"/>
      <c r="F1288" s="4660" t="s">
        <v>2495</v>
      </c>
      <c r="G1288" s="335" t="s">
        <v>40</v>
      </c>
      <c r="H1288" s="731">
        <v>548.82000000000005</v>
      </c>
      <c r="I1288" s="457">
        <v>32181233</v>
      </c>
      <c r="J1288" s="429"/>
      <c r="K1288" s="2443"/>
    </row>
    <row r="1289" spans="1:11" ht="18" customHeight="1" x14ac:dyDescent="0.25">
      <c r="A1289" s="1755" t="s">
        <v>1826</v>
      </c>
      <c r="B1289" s="335" t="s">
        <v>40</v>
      </c>
      <c r="C1289" s="689">
        <v>31.126999999999999</v>
      </c>
      <c r="D1289" s="438">
        <v>15184340</v>
      </c>
      <c r="E1289" s="429"/>
      <c r="F1289" s="493" t="s">
        <v>2002</v>
      </c>
      <c r="G1289" s="585" t="s">
        <v>40</v>
      </c>
      <c r="H1289" s="688">
        <v>445.05</v>
      </c>
      <c r="I1289" s="333">
        <v>32181233</v>
      </c>
      <c r="J1289" s="429"/>
      <c r="K1289" s="2443"/>
    </row>
    <row r="1290" spans="1:11" ht="18" customHeight="1" x14ac:dyDescent="0.25">
      <c r="A1290" s="494" t="s">
        <v>1833</v>
      </c>
      <c r="B1290" s="335" t="s">
        <v>40</v>
      </c>
      <c r="C1290" s="690">
        <v>44.447000000000003</v>
      </c>
      <c r="D1290" s="455">
        <v>15192712</v>
      </c>
      <c r="E1290" s="429"/>
      <c r="F1290" s="1765" t="s">
        <v>1826</v>
      </c>
      <c r="G1290" s="646" t="s">
        <v>40</v>
      </c>
      <c r="H1290" s="689">
        <v>51.814999999999998</v>
      </c>
      <c r="I1290" s="438">
        <v>32182232</v>
      </c>
      <c r="J1290" s="429"/>
      <c r="K1290" s="2443"/>
    </row>
    <row r="1291" spans="1:11" ht="18" customHeight="1" x14ac:dyDescent="0.25">
      <c r="A1291" s="541" t="s">
        <v>1594</v>
      </c>
      <c r="B1291" s="335" t="s">
        <v>40</v>
      </c>
      <c r="C1291" s="690">
        <v>3.75</v>
      </c>
      <c r="D1291" s="438">
        <v>15206440</v>
      </c>
      <c r="E1291" s="429"/>
      <c r="F1291" s="493" t="s">
        <v>1833</v>
      </c>
      <c r="G1291" s="646" t="s">
        <v>40</v>
      </c>
      <c r="H1291" s="689">
        <v>56.694000000000003</v>
      </c>
      <c r="I1291" s="438">
        <v>32184656</v>
      </c>
      <c r="J1291" s="429"/>
      <c r="K1291" s="2443"/>
    </row>
    <row r="1292" spans="1:11" ht="18" customHeight="1" x14ac:dyDescent="0.25">
      <c r="A1292" s="1688" t="s">
        <v>1101</v>
      </c>
      <c r="B1292" s="335"/>
      <c r="C1292" s="731">
        <v>120.2</v>
      </c>
      <c r="D1292" s="457">
        <v>15207033</v>
      </c>
      <c r="E1292" s="429"/>
      <c r="F1292" s="1688" t="s">
        <v>1594</v>
      </c>
      <c r="G1292" s="335" t="s">
        <v>40</v>
      </c>
      <c r="H1292" s="731">
        <v>7.375</v>
      </c>
      <c r="I1292" s="457">
        <v>32186294</v>
      </c>
      <c r="J1292" s="429"/>
      <c r="K1292" s="2443"/>
    </row>
    <row r="1293" spans="1:11" ht="18" customHeight="1" x14ac:dyDescent="0.25">
      <c r="A1293" s="1488" t="s">
        <v>2135</v>
      </c>
      <c r="B1293" s="1384" t="s">
        <v>40</v>
      </c>
      <c r="C1293" s="731">
        <v>70.099999999999994</v>
      </c>
      <c r="D1293" s="457">
        <v>15215822</v>
      </c>
      <c r="E1293" s="429"/>
      <c r="F1293" s="3055" t="s">
        <v>2134</v>
      </c>
      <c r="G1293" s="1384"/>
      <c r="H1293" s="731">
        <v>22.9</v>
      </c>
      <c r="I1293" s="457">
        <v>32187702</v>
      </c>
      <c r="J1293" s="429"/>
      <c r="K1293" s="2443"/>
    </row>
    <row r="1294" spans="1:11" ht="18" customHeight="1" x14ac:dyDescent="0.25">
      <c r="A1294" s="493" t="s">
        <v>1758</v>
      </c>
      <c r="B1294" s="335"/>
      <c r="C1294" s="691">
        <v>29</v>
      </c>
      <c r="D1294" s="456">
        <v>15224691</v>
      </c>
      <c r="E1294" s="429"/>
      <c r="F1294" s="555" t="s">
        <v>1793</v>
      </c>
      <c r="G1294" s="647"/>
      <c r="H1294" s="689">
        <v>44.148000000000003</v>
      </c>
      <c r="I1294" s="442">
        <v>32210631</v>
      </c>
      <c r="J1294" s="429"/>
      <c r="K1294" s="2443"/>
    </row>
    <row r="1295" spans="1:11" ht="18" customHeight="1" x14ac:dyDescent="0.25">
      <c r="A1295" s="1459" t="s">
        <v>1793</v>
      </c>
      <c r="B1295" s="623"/>
      <c r="C1295" s="692">
        <v>8.75</v>
      </c>
      <c r="D1295" s="438">
        <v>15232176</v>
      </c>
      <c r="E1295" s="429"/>
      <c r="F1295" s="499" t="s">
        <v>2026</v>
      </c>
      <c r="G1295" s="646"/>
      <c r="H1295" s="689">
        <v>14</v>
      </c>
      <c r="I1295" s="456">
        <v>32212136</v>
      </c>
      <c r="J1295" s="429"/>
      <c r="K1295" s="2443"/>
    </row>
    <row r="1296" spans="1:11" ht="18" customHeight="1" x14ac:dyDescent="0.25">
      <c r="A1296" s="2978" t="s">
        <v>2134</v>
      </c>
      <c r="B1296" s="579"/>
      <c r="C1296" s="693">
        <v>13.5</v>
      </c>
      <c r="D1296" s="455">
        <v>15249200</v>
      </c>
      <c r="E1296" s="429"/>
      <c r="F1296" s="1488" t="s">
        <v>1767</v>
      </c>
      <c r="G1296" s="646"/>
      <c r="H1296" s="689">
        <v>1</v>
      </c>
      <c r="I1296" s="455">
        <v>32212785</v>
      </c>
      <c r="J1296" s="429"/>
      <c r="K1296" s="2443"/>
    </row>
    <row r="1297" spans="1:11" ht="18" customHeight="1" x14ac:dyDescent="0.25">
      <c r="A1297" s="499" t="s">
        <v>578</v>
      </c>
      <c r="B1297" s="579" t="s">
        <v>40</v>
      </c>
      <c r="C1297" s="668">
        <v>5.68</v>
      </c>
      <c r="D1297" s="457">
        <v>15251132</v>
      </c>
      <c r="E1297" s="429"/>
      <c r="F1297" s="511" t="s">
        <v>1959</v>
      </c>
      <c r="G1297" s="615"/>
      <c r="H1297" s="731">
        <v>1</v>
      </c>
      <c r="I1297" s="457">
        <v>32213966</v>
      </c>
      <c r="J1297" s="429"/>
      <c r="K1297" s="2443"/>
    </row>
    <row r="1298" spans="1:11" ht="18" customHeight="1" x14ac:dyDescent="0.25">
      <c r="A1298" s="493" t="s">
        <v>1756</v>
      </c>
      <c r="B1298" s="335" t="s">
        <v>40</v>
      </c>
      <c r="C1298" s="688">
        <v>5.96</v>
      </c>
      <c r="D1298" s="438">
        <v>15254228</v>
      </c>
      <c r="E1298" s="429"/>
      <c r="F1298" s="497" t="s">
        <v>1756</v>
      </c>
      <c r="G1298" s="646" t="s">
        <v>40</v>
      </c>
      <c r="H1298" s="689">
        <v>20.53</v>
      </c>
      <c r="I1298" s="438">
        <v>32245021</v>
      </c>
      <c r="J1298" s="429"/>
      <c r="K1298" s="2443"/>
    </row>
    <row r="1299" spans="1:11" ht="18" customHeight="1" x14ac:dyDescent="0.25">
      <c r="A1299" s="511" t="s">
        <v>1790</v>
      </c>
      <c r="B1299" s="566"/>
      <c r="C1299" s="731">
        <v>6.81</v>
      </c>
      <c r="D1299" s="455">
        <v>15260064</v>
      </c>
      <c r="E1299" s="429"/>
      <c r="F1299" s="3007" t="s">
        <v>2626</v>
      </c>
      <c r="G1299" s="2057"/>
      <c r="H1299" s="689">
        <v>3.6389999999999998</v>
      </c>
      <c r="I1299" s="455">
        <v>32245599</v>
      </c>
      <c r="J1299" s="429"/>
      <c r="K1299" s="2443"/>
    </row>
    <row r="1300" spans="1:11" ht="18" customHeight="1" x14ac:dyDescent="0.25">
      <c r="A1300" s="3008" t="s">
        <v>2217</v>
      </c>
      <c r="B1300" s="569"/>
      <c r="C1300" s="692">
        <v>44.8</v>
      </c>
      <c r="D1300" s="438">
        <v>15262124</v>
      </c>
      <c r="E1300" s="429"/>
      <c r="F1300" s="511" t="s">
        <v>1101</v>
      </c>
      <c r="G1300" s="335"/>
      <c r="H1300" s="689">
        <v>266.98</v>
      </c>
      <c r="I1300" s="438">
        <v>32247146</v>
      </c>
      <c r="J1300" s="429"/>
      <c r="K1300" s="2443"/>
    </row>
    <row r="1301" spans="1:11" ht="18" customHeight="1" x14ac:dyDescent="0.25">
      <c r="A1301" s="1455" t="s">
        <v>575</v>
      </c>
      <c r="B1301" s="620"/>
      <c r="C1301" s="692">
        <v>18.04</v>
      </c>
      <c r="D1301" s="438">
        <v>15262238</v>
      </c>
      <c r="E1301" s="429"/>
      <c r="F1301" s="497" t="s">
        <v>1711</v>
      </c>
      <c r="G1301" s="1384" t="s">
        <v>40</v>
      </c>
      <c r="H1301" s="733">
        <v>2.0230000000000001</v>
      </c>
      <c r="I1301" s="457">
        <v>32251900</v>
      </c>
      <c r="J1301" s="429"/>
      <c r="K1301" s="2443"/>
    </row>
    <row r="1302" spans="1:11" ht="18" customHeight="1" x14ac:dyDescent="0.25">
      <c r="A1302" s="2995" t="s">
        <v>2585</v>
      </c>
      <c r="B1302" s="1364"/>
      <c r="C1302" s="3053">
        <v>9</v>
      </c>
      <c r="D1302" s="457">
        <v>15263377</v>
      </c>
      <c r="E1302" s="429"/>
      <c r="F1302" s="494" t="s">
        <v>1790</v>
      </c>
      <c r="G1302" s="1398"/>
      <c r="H1302" s="733">
        <v>30.382999999999999</v>
      </c>
      <c r="I1302" s="457">
        <v>32257600</v>
      </c>
      <c r="J1302" s="429"/>
      <c r="K1302" s="2443"/>
    </row>
    <row r="1303" spans="1:11" ht="18" customHeight="1" x14ac:dyDescent="0.25">
      <c r="A1303" s="516" t="s">
        <v>2558</v>
      </c>
      <c r="B1303" s="1384"/>
      <c r="C1303" s="731">
        <v>105.8</v>
      </c>
      <c r="D1303" s="457">
        <v>15276744</v>
      </c>
      <c r="E1303" s="429"/>
      <c r="F1303" s="495" t="s">
        <v>578</v>
      </c>
      <c r="G1303" s="1384" t="s">
        <v>40</v>
      </c>
      <c r="H1303" s="733">
        <v>162.98500000000001</v>
      </c>
      <c r="I1303" s="457">
        <v>32259158</v>
      </c>
      <c r="J1303" s="429"/>
      <c r="K1303" s="2443"/>
    </row>
    <row r="1304" spans="1:11" ht="18" customHeight="1" x14ac:dyDescent="0.25">
      <c r="A1304" s="2974" t="s">
        <v>2626</v>
      </c>
      <c r="B1304" s="335"/>
      <c r="C1304" s="731">
        <v>3.706</v>
      </c>
      <c r="D1304" s="1754">
        <v>15291446</v>
      </c>
      <c r="E1304" s="429"/>
      <c r="F1304" s="1688" t="s">
        <v>2135</v>
      </c>
      <c r="G1304" s="335" t="s">
        <v>40</v>
      </c>
      <c r="H1304" s="733">
        <v>76.2</v>
      </c>
      <c r="I1304" s="1754">
        <v>32259252</v>
      </c>
      <c r="J1304" s="429"/>
      <c r="K1304" s="2443"/>
    </row>
    <row r="1305" spans="1:11" ht="18" customHeight="1" x14ac:dyDescent="0.25">
      <c r="A1305" s="510" t="s">
        <v>1959</v>
      </c>
      <c r="B1305" s="1395"/>
      <c r="C1305" s="731">
        <v>1</v>
      </c>
      <c r="D1305" s="457">
        <v>15295196</v>
      </c>
      <c r="E1305" s="429"/>
      <c r="F1305" s="2979" t="s">
        <v>2217</v>
      </c>
      <c r="G1305" s="1364"/>
      <c r="H1305" s="733">
        <v>88.7</v>
      </c>
      <c r="I1305" s="457">
        <v>32265355</v>
      </c>
      <c r="J1305" s="429"/>
      <c r="K1305" s="2443"/>
    </row>
    <row r="1306" spans="1:11" ht="18" customHeight="1" x14ac:dyDescent="0.25">
      <c r="A1306" s="511" t="s">
        <v>2026</v>
      </c>
      <c r="B1306" s="579"/>
      <c r="C1306" s="694">
        <v>7.8</v>
      </c>
      <c r="D1306" s="438">
        <v>15305352</v>
      </c>
      <c r="E1306" s="429"/>
      <c r="F1306" s="497" t="s">
        <v>575</v>
      </c>
      <c r="G1306" s="602"/>
      <c r="H1306" s="732">
        <v>43</v>
      </c>
      <c r="I1306" s="438">
        <v>32266047</v>
      </c>
      <c r="J1306" s="429"/>
      <c r="K1306" s="2443"/>
    </row>
    <row r="1307" spans="1:11" ht="18" customHeight="1" x14ac:dyDescent="0.25">
      <c r="A1307" s="497" t="s">
        <v>1768</v>
      </c>
      <c r="B1307" s="335"/>
      <c r="C1307" s="731">
        <v>2</v>
      </c>
      <c r="D1307" s="457">
        <v>15306655</v>
      </c>
      <c r="E1307" s="429"/>
      <c r="F1307" s="511" t="s">
        <v>1768</v>
      </c>
      <c r="G1307" s="335"/>
      <c r="H1307" s="733">
        <v>30</v>
      </c>
      <c r="I1307" s="457">
        <v>32270358</v>
      </c>
      <c r="J1307" s="429"/>
      <c r="K1307" s="2443"/>
    </row>
    <row r="1308" spans="1:11" ht="18" customHeight="1" x14ac:dyDescent="0.25">
      <c r="A1308" s="2313" t="s">
        <v>2624</v>
      </c>
      <c r="B1308" s="569" t="s">
        <v>40</v>
      </c>
      <c r="C1308" s="692">
        <v>3.9</v>
      </c>
      <c r="D1308" s="438">
        <v>15316375</v>
      </c>
      <c r="E1308" s="429"/>
      <c r="F1308" s="2313" t="s">
        <v>2152</v>
      </c>
      <c r="G1308" s="646" t="s">
        <v>40</v>
      </c>
      <c r="H1308" s="689">
        <v>5</v>
      </c>
      <c r="I1308" s="438">
        <v>32284510</v>
      </c>
      <c r="J1308" s="429"/>
      <c r="K1308" s="2443"/>
    </row>
    <row r="1309" spans="1:11" ht="18" customHeight="1" x14ac:dyDescent="0.25">
      <c r="A1309" s="2496" t="s">
        <v>2152</v>
      </c>
      <c r="B1309" s="335" t="s">
        <v>40</v>
      </c>
      <c r="C1309" s="731">
        <v>2</v>
      </c>
      <c r="D1309" s="239">
        <v>15319278</v>
      </c>
      <c r="E1309" s="429"/>
      <c r="F1309" s="2986" t="s">
        <v>2624</v>
      </c>
      <c r="G1309" s="644" t="s">
        <v>40</v>
      </c>
      <c r="H1309" s="733">
        <v>9.4</v>
      </c>
      <c r="I1309" s="239">
        <v>32288205</v>
      </c>
      <c r="J1309" s="429"/>
      <c r="K1309" s="2443"/>
    </row>
    <row r="1310" spans="1:11" ht="18" customHeight="1" x14ac:dyDescent="0.25">
      <c r="A1310" s="2498" t="s">
        <v>1100</v>
      </c>
      <c r="B1310" s="569" t="s">
        <v>40</v>
      </c>
      <c r="C1310" s="694">
        <v>4.5</v>
      </c>
      <c r="D1310" s="459">
        <v>15321345</v>
      </c>
      <c r="E1310" s="429"/>
      <c r="F1310" s="497" t="s">
        <v>2625</v>
      </c>
      <c r="G1310" s="646" t="s">
        <v>40</v>
      </c>
      <c r="H1310" s="732">
        <v>7.09</v>
      </c>
      <c r="I1310" s="459">
        <v>32292566</v>
      </c>
      <c r="J1310" s="429"/>
      <c r="K1310" s="2443"/>
    </row>
    <row r="1311" spans="1:11" ht="18" customHeight="1" x14ac:dyDescent="0.25">
      <c r="A1311" s="2975" t="s">
        <v>2190</v>
      </c>
      <c r="B1311" s="579" t="s">
        <v>40</v>
      </c>
      <c r="C1311" s="694">
        <v>6.2</v>
      </c>
      <c r="D1311" s="438">
        <v>15322158</v>
      </c>
      <c r="E1311" s="429"/>
      <c r="F1311" s="2496" t="s">
        <v>2585</v>
      </c>
      <c r="G1311" s="335"/>
      <c r="H1311" s="732">
        <v>2</v>
      </c>
      <c r="I1311" s="438">
        <v>32293236</v>
      </c>
      <c r="J1311" s="429"/>
      <c r="K1311" s="2443"/>
    </row>
    <row r="1312" spans="1:11" ht="18" customHeight="1" x14ac:dyDescent="0.25">
      <c r="A1312" s="493" t="s">
        <v>921</v>
      </c>
      <c r="B1312" s="579"/>
      <c r="C1312" s="694">
        <v>5.31</v>
      </c>
      <c r="D1312" s="438">
        <v>15322158</v>
      </c>
      <c r="E1312" s="429"/>
      <c r="F1312" s="518" t="s">
        <v>958</v>
      </c>
      <c r="G1312" s="646"/>
      <c r="H1312" s="732">
        <v>1.125</v>
      </c>
      <c r="I1312" s="438">
        <v>32294386</v>
      </c>
      <c r="J1312" s="429"/>
      <c r="K1312" s="2443"/>
    </row>
    <row r="1313" spans="1:11" ht="18" customHeight="1" x14ac:dyDescent="0.25">
      <c r="A1313" s="1390" t="s">
        <v>2625</v>
      </c>
      <c r="B1313" s="335" t="s">
        <v>40</v>
      </c>
      <c r="C1313" s="660">
        <v>3.77</v>
      </c>
      <c r="D1313" s="464">
        <v>15322890</v>
      </c>
      <c r="E1313" s="427"/>
      <c r="F1313" s="2095" t="s">
        <v>1102</v>
      </c>
      <c r="G1313" s="335" t="s">
        <v>40</v>
      </c>
      <c r="H1313" s="731">
        <v>1</v>
      </c>
      <c r="I1313" s="464">
        <v>32294634</v>
      </c>
      <c r="J1313" s="429"/>
      <c r="K1313" s="2443"/>
    </row>
    <row r="1314" spans="1:11" ht="18" customHeight="1" x14ac:dyDescent="0.25">
      <c r="A1314" s="498" t="s">
        <v>503</v>
      </c>
      <c r="B1314" s="335"/>
      <c r="C1314" s="695"/>
      <c r="D1314" s="438">
        <v>15328307</v>
      </c>
      <c r="E1314" s="429"/>
      <c r="F1314" s="518" t="s">
        <v>503</v>
      </c>
      <c r="G1314" s="601"/>
      <c r="H1314" s="695"/>
      <c r="I1314" s="438">
        <v>32299256</v>
      </c>
      <c r="J1314" s="429"/>
      <c r="K1314" s="2443"/>
    </row>
    <row r="1315" spans="1:11" ht="18" customHeight="1" x14ac:dyDescent="0.25">
      <c r="A1315" s="497" t="s">
        <v>1767</v>
      </c>
      <c r="B1315" s="569"/>
      <c r="C1315" s="694">
        <v>4</v>
      </c>
      <c r="D1315" s="459">
        <v>15328455</v>
      </c>
      <c r="E1315" s="429"/>
      <c r="F1315" s="2496" t="s">
        <v>1100</v>
      </c>
      <c r="G1315" s="569" t="s">
        <v>40</v>
      </c>
      <c r="H1315" s="694">
        <v>9.57</v>
      </c>
      <c r="I1315" s="459">
        <v>32332091</v>
      </c>
      <c r="J1315" s="429"/>
      <c r="K1315" s="2443"/>
    </row>
    <row r="1316" spans="1:11" ht="18" customHeight="1" x14ac:dyDescent="0.25">
      <c r="A1316" s="495" t="s">
        <v>1759</v>
      </c>
      <c r="B1316" s="599"/>
      <c r="C1316" s="694">
        <v>9</v>
      </c>
      <c r="D1316" s="438">
        <v>15335755</v>
      </c>
      <c r="E1316" s="429"/>
      <c r="F1316" s="2975" t="s">
        <v>2190</v>
      </c>
      <c r="G1316" s="585" t="s">
        <v>40</v>
      </c>
      <c r="H1316" s="731">
        <v>13.9</v>
      </c>
      <c r="I1316" s="438">
        <v>32334509</v>
      </c>
      <c r="J1316" s="429"/>
      <c r="K1316" s="2443"/>
    </row>
    <row r="1317" spans="1:11" ht="18" customHeight="1" x14ac:dyDescent="0.25">
      <c r="A1317" s="1465" t="s">
        <v>1711</v>
      </c>
      <c r="B1317" s="585" t="s">
        <v>40</v>
      </c>
      <c r="C1317" s="709">
        <v>2.2959999999999998</v>
      </c>
      <c r="D1317" s="438">
        <v>15350492</v>
      </c>
      <c r="E1317" s="429"/>
      <c r="F1317" s="500" t="s">
        <v>921</v>
      </c>
      <c r="G1317" s="569"/>
      <c r="H1317" s="694">
        <v>11.984999999999999</v>
      </c>
      <c r="I1317" s="438">
        <v>32334509</v>
      </c>
      <c r="J1317" s="429"/>
      <c r="K1317" s="2443"/>
    </row>
    <row r="1318" spans="1:11" ht="18" customHeight="1" x14ac:dyDescent="0.25">
      <c r="A1318" s="498" t="s">
        <v>958</v>
      </c>
      <c r="B1318" s="569"/>
      <c r="C1318" s="694">
        <v>19</v>
      </c>
      <c r="D1318" s="438">
        <v>15416174</v>
      </c>
      <c r="E1318" s="429"/>
      <c r="F1318" s="1410" t="s">
        <v>2558</v>
      </c>
      <c r="G1318" s="569"/>
      <c r="H1318" s="694">
        <v>216.4</v>
      </c>
      <c r="I1318" s="438">
        <v>32347349</v>
      </c>
      <c r="J1318" s="429"/>
      <c r="K1318" s="2443"/>
    </row>
    <row r="1319" spans="1:11" ht="18" customHeight="1" x14ac:dyDescent="0.25">
      <c r="A1319" s="524" t="s">
        <v>1102</v>
      </c>
      <c r="B1319" s="601" t="s">
        <v>40</v>
      </c>
      <c r="C1319" s="694">
        <v>3</v>
      </c>
      <c r="D1319" s="440">
        <v>15418344</v>
      </c>
      <c r="E1319" s="429"/>
      <c r="F1319" s="495" t="s">
        <v>1759</v>
      </c>
      <c r="G1319" s="648"/>
      <c r="H1319" s="689">
        <v>43</v>
      </c>
      <c r="I1319" s="438">
        <v>32348115</v>
      </c>
      <c r="J1319" s="429"/>
      <c r="K1319" s="2443"/>
    </row>
    <row r="1320" spans="1:11" ht="18" customHeight="1" x14ac:dyDescent="0.25">
      <c r="A1320" s="1483" t="s">
        <v>538</v>
      </c>
      <c r="B1320" s="1481"/>
      <c r="C1320" s="1482"/>
      <c r="D1320" s="1464" t="s">
        <v>481</v>
      </c>
      <c r="E1320" s="429"/>
      <c r="F1320" s="1770" t="s">
        <v>538</v>
      </c>
      <c r="G1320" s="1484"/>
      <c r="H1320" s="1482"/>
      <c r="I1320" s="1464" t="s">
        <v>481</v>
      </c>
      <c r="J1320" s="429"/>
      <c r="K1320" s="2443"/>
    </row>
    <row r="1321" spans="1:11" ht="18" customHeight="1" x14ac:dyDescent="0.25">
      <c r="A1321" s="142"/>
      <c r="B1321" s="575"/>
      <c r="C1321" s="677"/>
      <c r="D1321" s="177"/>
      <c r="E1321" s="429"/>
      <c r="F1321" s="525"/>
      <c r="G1321" s="575"/>
      <c r="H1321" s="677"/>
      <c r="I1321" s="177"/>
      <c r="J1321" s="429"/>
      <c r="K1321" s="2443"/>
    </row>
    <row r="1322" spans="1:11" ht="18" customHeight="1" x14ac:dyDescent="0.25">
      <c r="A1322" s="446"/>
      <c r="B1322" s="446"/>
      <c r="C1322" s="2"/>
      <c r="D1322" s="446"/>
      <c r="E1322" s="429"/>
      <c r="F1322" s="142"/>
      <c r="G1322" s="142"/>
      <c r="H1322" s="366"/>
      <c r="I1322" s="452"/>
      <c r="J1322" s="429"/>
      <c r="K1322" s="2443"/>
    </row>
    <row r="1323" spans="1:11" ht="18" customHeight="1" x14ac:dyDescent="0.25">
      <c r="A1323" s="542"/>
      <c r="B1323" s="446"/>
      <c r="C1323" s="2"/>
      <c r="D1323" s="446"/>
      <c r="E1323" s="429"/>
      <c r="F1323" s="542"/>
      <c r="G1323" s="446"/>
      <c r="H1323" s="2"/>
      <c r="I1323" s="446"/>
      <c r="J1323" s="429"/>
      <c r="K1323" s="2443"/>
    </row>
    <row r="1324" spans="1:11" ht="24" customHeight="1" x14ac:dyDescent="0.25">
      <c r="A1324" s="1624" t="s">
        <v>501</v>
      </c>
      <c r="B1324" s="603"/>
      <c r="C1324" s="2430" t="s">
        <v>480</v>
      </c>
      <c r="D1324" s="435" t="s">
        <v>497</v>
      </c>
      <c r="E1324" s="429"/>
      <c r="F1324" s="1623" t="s">
        <v>496</v>
      </c>
      <c r="G1324" s="649"/>
      <c r="H1324" s="2430" t="s">
        <v>480</v>
      </c>
      <c r="I1324" s="522" t="s">
        <v>497</v>
      </c>
      <c r="J1324" s="429"/>
      <c r="K1324" s="2443"/>
    </row>
    <row r="1325" spans="1:11" ht="18" customHeight="1" x14ac:dyDescent="0.25">
      <c r="A1325" s="543" t="s">
        <v>2141</v>
      </c>
      <c r="B1325" s="619"/>
      <c r="C1325" s="686"/>
      <c r="D1325" s="469">
        <v>1652570</v>
      </c>
      <c r="E1325" s="429"/>
      <c r="F1325" s="543" t="s">
        <v>2142</v>
      </c>
      <c r="G1325" s="619"/>
      <c r="H1325" s="686"/>
      <c r="I1325" s="474">
        <v>4133376</v>
      </c>
      <c r="J1325" s="429"/>
      <c r="K1325" s="2443"/>
    </row>
    <row r="1326" spans="1:11" ht="18" customHeight="1" x14ac:dyDescent="0.25">
      <c r="A1326" s="544" t="s">
        <v>502</v>
      </c>
      <c r="B1326" s="619"/>
      <c r="C1326" s="696"/>
      <c r="D1326" s="469">
        <f>166745987-1652570</f>
        <v>165093417</v>
      </c>
      <c r="E1326" s="429"/>
      <c r="F1326" s="544" t="s">
        <v>500</v>
      </c>
      <c r="G1326" s="619"/>
      <c r="H1326" s="686"/>
      <c r="I1326" s="469">
        <f>117465972-4133376</f>
        <v>113332596</v>
      </c>
      <c r="J1326" s="429"/>
      <c r="K1326" s="2443"/>
    </row>
    <row r="1327" spans="1:11" ht="18" customHeight="1" x14ac:dyDescent="0.25">
      <c r="A1327" s="2491" t="s">
        <v>2621</v>
      </c>
      <c r="B1327" s="610"/>
      <c r="C1327" s="3049">
        <v>44004.9</v>
      </c>
      <c r="D1327" s="461">
        <v>162570438</v>
      </c>
      <c r="E1327" s="429"/>
      <c r="F1327" s="557" t="s">
        <v>538</v>
      </c>
      <c r="G1327" s="622"/>
      <c r="H1327" s="734">
        <v>568.67999999999995</v>
      </c>
      <c r="I1327" s="458">
        <v>76876944</v>
      </c>
      <c r="J1327" s="429"/>
      <c r="K1327" s="2443"/>
    </row>
    <row r="1328" spans="1:11" ht="18" customHeight="1" x14ac:dyDescent="0.25">
      <c r="A1328" s="2966" t="s">
        <v>2627</v>
      </c>
      <c r="B1328" s="583"/>
      <c r="C1328" s="697">
        <v>34837</v>
      </c>
      <c r="D1328" s="470">
        <v>162737727</v>
      </c>
      <c r="E1328" s="429"/>
      <c r="F1328" s="2976" t="s">
        <v>2621</v>
      </c>
      <c r="G1328" s="583"/>
      <c r="H1328" s="689">
        <v>34493.699999999997</v>
      </c>
      <c r="I1328" s="438">
        <v>93998046</v>
      </c>
      <c r="J1328" s="429"/>
      <c r="K1328" s="2443"/>
    </row>
    <row r="1329" spans="1:11" ht="18" customHeight="1" x14ac:dyDescent="0.25">
      <c r="A1329" s="3032" t="s">
        <v>1792</v>
      </c>
      <c r="B1329" s="3048"/>
      <c r="C1329" s="698">
        <v>274.07</v>
      </c>
      <c r="D1329" s="3016">
        <v>162743521</v>
      </c>
      <c r="E1329" s="429"/>
      <c r="F1329" s="4745" t="s">
        <v>2792</v>
      </c>
      <c r="G1329" s="3289" t="s">
        <v>40</v>
      </c>
      <c r="H1329" s="3021">
        <v>14981.52</v>
      </c>
      <c r="I1329" s="3016">
        <v>94870796</v>
      </c>
      <c r="J1329" s="429"/>
      <c r="K1329" s="2443"/>
    </row>
    <row r="1330" spans="1:11" ht="18" customHeight="1" x14ac:dyDescent="0.25">
      <c r="A1330" s="3203" t="s">
        <v>2792</v>
      </c>
      <c r="B1330" s="4737" t="s">
        <v>40</v>
      </c>
      <c r="C1330" s="3189">
        <v>24413.8</v>
      </c>
      <c r="D1330" s="3195">
        <v>163366113</v>
      </c>
      <c r="E1330" s="429"/>
      <c r="F1330" s="3286" t="s">
        <v>2478</v>
      </c>
      <c r="G1330" s="4737" t="s">
        <v>40</v>
      </c>
      <c r="H1330" s="3200">
        <v>16060.38</v>
      </c>
      <c r="I1330" s="3195">
        <v>94946413</v>
      </c>
      <c r="J1330" s="429"/>
      <c r="K1330" s="2443"/>
    </row>
    <row r="1331" spans="1:11" ht="18" customHeight="1" x14ac:dyDescent="0.25">
      <c r="A1331" s="4632" t="s">
        <v>2495</v>
      </c>
      <c r="B1331" s="3015" t="s">
        <v>40</v>
      </c>
      <c r="C1331" s="698">
        <v>2651.25</v>
      </c>
      <c r="D1331" s="3016">
        <v>163388758</v>
      </c>
      <c r="E1331" s="429"/>
      <c r="F1331" s="2974" t="s">
        <v>2469</v>
      </c>
      <c r="G1331" s="3097" t="s">
        <v>40</v>
      </c>
      <c r="H1331" s="3021">
        <v>14672.55</v>
      </c>
      <c r="I1331" s="3016">
        <v>95012301</v>
      </c>
      <c r="J1331" s="429"/>
      <c r="K1331" s="2443"/>
    </row>
    <row r="1332" spans="1:11" ht="18" customHeight="1" x14ac:dyDescent="0.25">
      <c r="A1332" s="1688" t="s">
        <v>2002</v>
      </c>
      <c r="B1332" s="3015" t="s">
        <v>40</v>
      </c>
      <c r="C1332" s="698">
        <v>2212.19</v>
      </c>
      <c r="D1332" s="3016">
        <v>163388758</v>
      </c>
      <c r="E1332" s="429"/>
      <c r="F1332" s="3286" t="s">
        <v>2482</v>
      </c>
      <c r="G1332" s="3188" t="s">
        <v>40</v>
      </c>
      <c r="H1332" s="3021">
        <v>13306.23</v>
      </c>
      <c r="I1332" s="3016">
        <v>95135199</v>
      </c>
      <c r="J1332" s="429"/>
      <c r="K1332" s="2443"/>
    </row>
    <row r="1333" spans="1:11" ht="18" customHeight="1" x14ac:dyDescent="0.25">
      <c r="A1333" s="493" t="s">
        <v>2478</v>
      </c>
      <c r="B1333" s="563" t="s">
        <v>40</v>
      </c>
      <c r="C1333" s="697">
        <v>21246.67</v>
      </c>
      <c r="D1333" s="457">
        <v>163407798</v>
      </c>
      <c r="E1333" s="429"/>
      <c r="F1333" s="2193" t="s">
        <v>2483</v>
      </c>
      <c r="G1333" s="335" t="s">
        <v>40</v>
      </c>
      <c r="H1333" s="731">
        <v>11769.58</v>
      </c>
      <c r="I1333" s="457">
        <v>95432466</v>
      </c>
      <c r="J1333" s="429"/>
      <c r="K1333" s="2443"/>
    </row>
    <row r="1334" spans="1:11" ht="18" customHeight="1" x14ac:dyDescent="0.25">
      <c r="A1334" s="4755" t="s">
        <v>2623</v>
      </c>
      <c r="B1334" s="2043"/>
      <c r="C1334" s="697">
        <v>3352.9</v>
      </c>
      <c r="D1334" s="1792">
        <v>163445709</v>
      </c>
      <c r="E1334" s="429"/>
      <c r="F1334" s="2194" t="s">
        <v>1792</v>
      </c>
      <c r="G1334" s="1869"/>
      <c r="H1334" s="2210">
        <v>201.51</v>
      </c>
      <c r="I1334" s="1792">
        <v>95825775</v>
      </c>
      <c r="J1334" s="429"/>
      <c r="K1334" s="2443"/>
    </row>
    <row r="1335" spans="1:11" ht="18" customHeight="1" x14ac:dyDescent="0.25">
      <c r="A1335" s="2796" t="s">
        <v>748</v>
      </c>
      <c r="B1335" s="2403" t="s">
        <v>40</v>
      </c>
      <c r="C1335" s="697">
        <v>2132.36</v>
      </c>
      <c r="D1335" s="1792">
        <v>163550830</v>
      </c>
      <c r="E1335" s="429"/>
      <c r="F1335" s="4644" t="s">
        <v>2495</v>
      </c>
      <c r="G1335" s="2403" t="s">
        <v>40</v>
      </c>
      <c r="H1335" s="1806">
        <v>1878.31</v>
      </c>
      <c r="I1335" s="1792">
        <v>96249556</v>
      </c>
      <c r="J1335" s="429"/>
      <c r="K1335" s="2443"/>
    </row>
    <row r="1336" spans="1:11" ht="18" customHeight="1" x14ac:dyDescent="0.25">
      <c r="A1336" s="1688" t="s">
        <v>2482</v>
      </c>
      <c r="B1336" s="2043" t="s">
        <v>40</v>
      </c>
      <c r="C1336" s="697">
        <v>18243.349999999999</v>
      </c>
      <c r="D1336" s="1792">
        <v>163674153</v>
      </c>
      <c r="E1336" s="429"/>
      <c r="F1336" s="1688" t="s">
        <v>2002</v>
      </c>
      <c r="G1336" s="2043" t="s">
        <v>40</v>
      </c>
      <c r="H1336" s="1806">
        <v>1566</v>
      </c>
      <c r="I1336" s="1792">
        <v>96249556</v>
      </c>
      <c r="J1336" s="429"/>
      <c r="K1336" s="2443"/>
    </row>
    <row r="1337" spans="1:11" ht="18" customHeight="1" x14ac:dyDescent="0.25">
      <c r="A1337" s="3293" t="s">
        <v>2469</v>
      </c>
      <c r="B1337" s="4727" t="s">
        <v>40</v>
      </c>
      <c r="C1337" s="697">
        <v>19756.71</v>
      </c>
      <c r="D1337" s="1792">
        <v>163683825</v>
      </c>
      <c r="E1337" s="429"/>
      <c r="F1337" s="2323" t="s">
        <v>2623</v>
      </c>
      <c r="G1337" s="2043"/>
      <c r="H1337" s="1806">
        <v>2364.8000000000002</v>
      </c>
      <c r="I1337" s="1792">
        <v>96399536</v>
      </c>
      <c r="J1337" s="429"/>
      <c r="K1337" s="2443"/>
    </row>
    <row r="1338" spans="1:11" ht="18" customHeight="1" x14ac:dyDescent="0.25">
      <c r="A1338" s="1390" t="s">
        <v>2483</v>
      </c>
      <c r="B1338" s="1803" t="s">
        <v>40</v>
      </c>
      <c r="C1338" s="697">
        <v>15945.5</v>
      </c>
      <c r="D1338" s="1793">
        <v>163845828</v>
      </c>
      <c r="E1338" s="429"/>
      <c r="F1338" s="2323" t="s">
        <v>2627</v>
      </c>
      <c r="G1338" s="2160"/>
      <c r="H1338" s="2210">
        <v>2757.1</v>
      </c>
      <c r="I1338" s="1792">
        <v>96614897</v>
      </c>
      <c r="J1338" s="429"/>
      <c r="K1338" s="2443"/>
    </row>
    <row r="1339" spans="1:11" ht="18" customHeight="1" x14ac:dyDescent="0.25">
      <c r="A1339" s="1755" t="s">
        <v>1826</v>
      </c>
      <c r="B1339" s="585" t="s">
        <v>40</v>
      </c>
      <c r="C1339" s="698">
        <v>214.53700000000001</v>
      </c>
      <c r="D1339" s="196">
        <v>163964903</v>
      </c>
      <c r="E1339" s="429"/>
      <c r="F1339" s="493" t="s">
        <v>748</v>
      </c>
      <c r="G1339" s="569" t="s">
        <v>40</v>
      </c>
      <c r="H1339" s="692">
        <v>1490.77</v>
      </c>
      <c r="I1339" s="438">
        <v>96623612</v>
      </c>
      <c r="J1339" s="429"/>
      <c r="K1339" s="2443"/>
    </row>
    <row r="1340" spans="1:11" ht="18" customHeight="1" x14ac:dyDescent="0.25">
      <c r="A1340" s="493" t="s">
        <v>1833</v>
      </c>
      <c r="B1340" s="1790" t="s">
        <v>40</v>
      </c>
      <c r="C1340" s="697">
        <v>263.79899999999998</v>
      </c>
      <c r="D1340" s="1566">
        <v>164024188</v>
      </c>
      <c r="E1340" s="429"/>
      <c r="F1340" s="1760" t="s">
        <v>1826</v>
      </c>
      <c r="G1340" s="2043" t="s">
        <v>40</v>
      </c>
      <c r="H1340" s="1806">
        <v>152.69499999999999</v>
      </c>
      <c r="I1340" s="1793">
        <v>97955310</v>
      </c>
      <c r="J1340" s="429"/>
      <c r="K1340" s="2443"/>
    </row>
    <row r="1341" spans="1:11" ht="18" customHeight="1" x14ac:dyDescent="0.25">
      <c r="A1341" s="2966" t="s">
        <v>2558</v>
      </c>
      <c r="B1341" s="1384"/>
      <c r="C1341" s="697">
        <v>1172.3</v>
      </c>
      <c r="D1341" s="1566">
        <v>164342619</v>
      </c>
      <c r="E1341" s="429"/>
      <c r="F1341" s="1488" t="s">
        <v>2026</v>
      </c>
      <c r="G1341" s="1384"/>
      <c r="H1341" s="731">
        <v>165.6</v>
      </c>
      <c r="I1341" s="1793">
        <v>98118789</v>
      </c>
      <c r="J1341" s="429"/>
      <c r="K1341" s="2443"/>
    </row>
    <row r="1342" spans="1:11" ht="18" customHeight="1" x14ac:dyDescent="0.25">
      <c r="A1342" s="1688" t="s">
        <v>1594</v>
      </c>
      <c r="B1342" s="335" t="s">
        <v>40</v>
      </c>
      <c r="C1342" s="658">
        <v>44.7</v>
      </c>
      <c r="D1342" s="1566">
        <v>164374974</v>
      </c>
      <c r="E1342" s="429"/>
      <c r="F1342" s="2957" t="s">
        <v>2558</v>
      </c>
      <c r="G1342" s="335"/>
      <c r="H1342" s="731">
        <v>851.7</v>
      </c>
      <c r="I1342" s="457">
        <v>98630248</v>
      </c>
      <c r="J1342" s="429"/>
      <c r="K1342" s="2443"/>
    </row>
    <row r="1343" spans="1:11" ht="18" customHeight="1" x14ac:dyDescent="0.25">
      <c r="A1343" s="1488" t="s">
        <v>1101</v>
      </c>
      <c r="B1343" s="1384"/>
      <c r="C1343" s="697">
        <v>1595.96</v>
      </c>
      <c r="D1343" s="1566">
        <v>164722995</v>
      </c>
      <c r="E1343" s="429"/>
      <c r="F1343" s="1488" t="s">
        <v>1101</v>
      </c>
      <c r="G1343" s="1384"/>
      <c r="H1343" s="731">
        <v>819.71</v>
      </c>
      <c r="I1343" s="464">
        <v>98682040</v>
      </c>
      <c r="J1343" s="429"/>
      <c r="K1343" s="2443"/>
    </row>
    <row r="1344" spans="1:11" ht="18" customHeight="1" x14ac:dyDescent="0.25">
      <c r="A1344" s="1469" t="s">
        <v>578</v>
      </c>
      <c r="B1344" s="335" t="s">
        <v>40</v>
      </c>
      <c r="C1344" s="697">
        <v>101.88</v>
      </c>
      <c r="D1344" s="471">
        <v>164872502</v>
      </c>
      <c r="E1344" s="429"/>
      <c r="F1344" s="511" t="s">
        <v>1833</v>
      </c>
      <c r="G1344" s="335" t="s">
        <v>40</v>
      </c>
      <c r="H1344" s="690">
        <v>177.77199999999999</v>
      </c>
      <c r="I1344" s="455">
        <v>99235509</v>
      </c>
      <c r="J1344" s="429"/>
      <c r="K1344" s="2443"/>
    </row>
    <row r="1345" spans="1:11" ht="18" customHeight="1" x14ac:dyDescent="0.25">
      <c r="A1345" s="2999" t="s">
        <v>2217</v>
      </c>
      <c r="B1345" s="335"/>
      <c r="C1345" s="697">
        <v>462.9</v>
      </c>
      <c r="D1345" s="1566">
        <v>164920577</v>
      </c>
      <c r="E1345" s="429"/>
      <c r="F1345" s="1688" t="s">
        <v>1594</v>
      </c>
      <c r="G1345" s="335" t="s">
        <v>40</v>
      </c>
      <c r="H1345" s="731">
        <v>27.39</v>
      </c>
      <c r="I1345" s="1753">
        <v>99942032</v>
      </c>
      <c r="J1345" s="429"/>
      <c r="K1345" s="2443"/>
    </row>
    <row r="1346" spans="1:11" ht="18" customHeight="1" x14ac:dyDescent="0.25">
      <c r="A1346" s="499" t="s">
        <v>575</v>
      </c>
      <c r="B1346" s="597"/>
      <c r="C1346" s="697">
        <v>227</v>
      </c>
      <c r="D1346" s="471">
        <v>164932610</v>
      </c>
      <c r="E1346" s="429"/>
      <c r="F1346" s="499" t="s">
        <v>578</v>
      </c>
      <c r="G1346" s="1384" t="s">
        <v>40</v>
      </c>
      <c r="H1346" s="731">
        <v>107.828</v>
      </c>
      <c r="I1346" s="457">
        <v>100473896</v>
      </c>
      <c r="J1346" s="429"/>
      <c r="K1346" s="2443"/>
    </row>
    <row r="1347" spans="1:11" ht="18" customHeight="1" x14ac:dyDescent="0.25">
      <c r="A1347" s="495" t="s">
        <v>1790</v>
      </c>
      <c r="B1347" s="1389"/>
      <c r="C1347" s="698">
        <v>160.34800000000001</v>
      </c>
      <c r="D1347" s="1566">
        <v>164934832</v>
      </c>
      <c r="E1347" s="429"/>
      <c r="F1347" s="555" t="s">
        <v>1793</v>
      </c>
      <c r="G1347" s="1389"/>
      <c r="H1347" s="731">
        <v>165.57900000000001</v>
      </c>
      <c r="I1347" s="457">
        <v>100960622</v>
      </c>
      <c r="J1347" s="429"/>
      <c r="K1347" s="2443"/>
    </row>
    <row r="1348" spans="1:11" ht="18" customHeight="1" x14ac:dyDescent="0.25">
      <c r="A1348" s="2491" t="s">
        <v>2585</v>
      </c>
      <c r="B1348" s="1364"/>
      <c r="C1348" s="697">
        <v>106</v>
      </c>
      <c r="D1348" s="1379">
        <v>164942471</v>
      </c>
      <c r="E1348" s="429"/>
      <c r="F1348" s="1459" t="s">
        <v>958</v>
      </c>
      <c r="G1348" s="1364"/>
      <c r="H1348" s="731">
        <v>55.24</v>
      </c>
      <c r="I1348" s="457">
        <v>101224982</v>
      </c>
      <c r="J1348" s="429"/>
      <c r="K1348" s="2443"/>
    </row>
    <row r="1349" spans="1:11" ht="18" customHeight="1" x14ac:dyDescent="0.25">
      <c r="A1349" s="498" t="s">
        <v>1755</v>
      </c>
      <c r="B1349" s="1398"/>
      <c r="C1349" s="697">
        <v>227.6</v>
      </c>
      <c r="D1349" s="1379">
        <v>165072013</v>
      </c>
      <c r="E1349" s="429"/>
      <c r="F1349" s="2975" t="s">
        <v>2585</v>
      </c>
      <c r="G1349" s="1364"/>
      <c r="H1349" s="731">
        <v>79</v>
      </c>
      <c r="I1349" s="457">
        <v>102734425</v>
      </c>
      <c r="J1349" s="429"/>
      <c r="K1349" s="2443"/>
    </row>
    <row r="1350" spans="1:11" ht="18" customHeight="1" x14ac:dyDescent="0.25">
      <c r="A1350" s="1455" t="s">
        <v>2026</v>
      </c>
      <c r="B1350" s="579"/>
      <c r="C1350" s="698">
        <v>112.6</v>
      </c>
      <c r="D1350" s="472">
        <v>165345745</v>
      </c>
      <c r="E1350" s="429"/>
      <c r="F1350" s="1465" t="s">
        <v>575</v>
      </c>
      <c r="G1350" s="1519"/>
      <c r="H1350" s="736">
        <v>159.1</v>
      </c>
      <c r="I1350" s="456">
        <v>102969333</v>
      </c>
      <c r="J1350" s="429"/>
      <c r="K1350" s="2443"/>
    </row>
    <row r="1351" spans="1:11" ht="18" customHeight="1" x14ac:dyDescent="0.25">
      <c r="A1351" s="2981" t="s">
        <v>2556</v>
      </c>
      <c r="B1351" s="3329"/>
      <c r="C1351" s="699">
        <v>312.8</v>
      </c>
      <c r="D1351" s="457">
        <v>165570554</v>
      </c>
      <c r="E1351" s="429"/>
      <c r="F1351" s="3001" t="s">
        <v>2217</v>
      </c>
      <c r="G1351" s="605"/>
      <c r="H1351" s="731">
        <v>276.10000000000002</v>
      </c>
      <c r="I1351" s="457">
        <v>103009260</v>
      </c>
      <c r="J1351" s="429"/>
      <c r="K1351" s="2443"/>
    </row>
    <row r="1352" spans="1:11" ht="18" customHeight="1" x14ac:dyDescent="0.25">
      <c r="A1352" s="499" t="s">
        <v>1711</v>
      </c>
      <c r="B1352" s="569" t="s">
        <v>40</v>
      </c>
      <c r="C1352" s="697">
        <v>27.785</v>
      </c>
      <c r="D1352" s="470">
        <v>165612606</v>
      </c>
      <c r="E1352" s="429"/>
      <c r="F1352" s="493" t="s">
        <v>1790</v>
      </c>
      <c r="G1352" s="623"/>
      <c r="H1352" s="690">
        <v>101.86199999999999</v>
      </c>
      <c r="I1352" s="440">
        <v>103498464</v>
      </c>
      <c r="J1352" s="429"/>
      <c r="K1352" s="2443"/>
    </row>
    <row r="1353" spans="1:11" ht="18" customHeight="1" x14ac:dyDescent="0.25">
      <c r="A1353" s="493" t="s">
        <v>1758</v>
      </c>
      <c r="B1353" s="569"/>
      <c r="C1353" s="697">
        <v>893</v>
      </c>
      <c r="D1353" s="470">
        <v>165788589</v>
      </c>
      <c r="E1353" s="429"/>
      <c r="F1353" s="2978" t="s">
        <v>2134</v>
      </c>
      <c r="G1353" s="579"/>
      <c r="H1353" s="693">
        <v>86.5</v>
      </c>
      <c r="I1353" s="455">
        <v>104199273</v>
      </c>
      <c r="J1353" s="429"/>
      <c r="K1353" s="2443"/>
    </row>
    <row r="1354" spans="1:11" ht="18" customHeight="1" x14ac:dyDescent="0.25">
      <c r="A1354" s="1465" t="s">
        <v>2135</v>
      </c>
      <c r="B1354" s="585" t="s">
        <v>40</v>
      </c>
      <c r="C1354" s="697">
        <v>413.1</v>
      </c>
      <c r="D1354" s="470">
        <v>165931290</v>
      </c>
      <c r="E1354" s="429"/>
      <c r="F1354" s="2496" t="s">
        <v>2556</v>
      </c>
      <c r="G1354" s="1723"/>
      <c r="H1354" s="692">
        <v>306.39999999999998</v>
      </c>
      <c r="I1354" s="438">
        <v>104530948</v>
      </c>
      <c r="J1354" s="429"/>
      <c r="K1354" s="2443"/>
    </row>
    <row r="1355" spans="1:11" ht="18" customHeight="1" x14ac:dyDescent="0.25">
      <c r="A1355" s="493" t="s">
        <v>1756</v>
      </c>
      <c r="B1355" s="569" t="s">
        <v>40</v>
      </c>
      <c r="C1355" s="697">
        <v>140.68</v>
      </c>
      <c r="D1355" s="470">
        <v>165969520</v>
      </c>
      <c r="E1355" s="429"/>
      <c r="F1355" s="1455" t="s">
        <v>1711</v>
      </c>
      <c r="G1355" s="579" t="s">
        <v>40</v>
      </c>
      <c r="H1355" s="694">
        <v>38.975999999999999</v>
      </c>
      <c r="I1355" s="1647">
        <v>104686059</v>
      </c>
      <c r="J1355" s="429"/>
      <c r="K1355" s="2443"/>
    </row>
    <row r="1356" spans="1:11" ht="18" customHeight="1" x14ac:dyDescent="0.25">
      <c r="A1356" s="523" t="s">
        <v>2152</v>
      </c>
      <c r="B1356" s="569" t="s">
        <v>40</v>
      </c>
      <c r="C1356" s="658">
        <v>39</v>
      </c>
      <c r="D1356" s="1647">
        <v>166049798</v>
      </c>
      <c r="E1356" s="429"/>
      <c r="F1356" s="497" t="s">
        <v>1758</v>
      </c>
      <c r="G1356" s="569"/>
      <c r="H1356" s="692">
        <v>605.1</v>
      </c>
      <c r="I1356" s="440">
        <v>104739663</v>
      </c>
      <c r="J1356" s="429"/>
      <c r="K1356" s="2443"/>
    </row>
    <row r="1357" spans="1:11" ht="18" customHeight="1" x14ac:dyDescent="0.25">
      <c r="A1357" s="511" t="s">
        <v>1959</v>
      </c>
      <c r="B1357" s="566"/>
      <c r="C1357" s="697">
        <v>4</v>
      </c>
      <c r="D1357" s="470">
        <v>166112292</v>
      </c>
      <c r="E1357" s="429"/>
      <c r="F1357" s="2313" t="s">
        <v>2152</v>
      </c>
      <c r="G1357" s="579" t="s">
        <v>40</v>
      </c>
      <c r="H1357" s="694">
        <v>31</v>
      </c>
      <c r="I1357" s="440">
        <v>105455434</v>
      </c>
      <c r="J1357" s="429"/>
      <c r="K1357" s="2443"/>
    </row>
    <row r="1358" spans="1:11" ht="18" customHeight="1" x14ac:dyDescent="0.25">
      <c r="A1358" s="3003" t="s">
        <v>2134</v>
      </c>
      <c r="B1358" s="335"/>
      <c r="C1358" s="697">
        <v>106.3</v>
      </c>
      <c r="D1358" s="1379">
        <v>166147674</v>
      </c>
      <c r="E1358" s="429"/>
      <c r="F1358" s="511" t="s">
        <v>1756</v>
      </c>
      <c r="G1358" s="335" t="s">
        <v>40</v>
      </c>
      <c r="H1358" s="731">
        <v>111.1</v>
      </c>
      <c r="I1358" s="464">
        <v>105519854</v>
      </c>
      <c r="J1358" s="429"/>
      <c r="K1358" s="2443"/>
    </row>
    <row r="1359" spans="1:11" ht="18" customHeight="1" x14ac:dyDescent="0.25">
      <c r="A1359" s="2496" t="s">
        <v>2624</v>
      </c>
      <c r="B1359" s="335" t="s">
        <v>40</v>
      </c>
      <c r="C1359" s="697">
        <v>90.26</v>
      </c>
      <c r="D1359" s="470">
        <v>166221181</v>
      </c>
      <c r="E1359" s="429"/>
      <c r="F1359" s="493" t="s">
        <v>1767</v>
      </c>
      <c r="G1359" s="579"/>
      <c r="H1359" s="694">
        <v>24</v>
      </c>
      <c r="I1359" s="438">
        <v>105779473</v>
      </c>
      <c r="J1359" s="429"/>
      <c r="K1359" s="2443"/>
    </row>
    <row r="1360" spans="1:11" ht="18" customHeight="1" x14ac:dyDescent="0.25">
      <c r="A1360" s="3007" t="s">
        <v>2626</v>
      </c>
      <c r="B1360" s="579"/>
      <c r="C1360" s="697">
        <v>24.67</v>
      </c>
      <c r="D1360" s="470">
        <v>166236444</v>
      </c>
      <c r="E1360" s="429"/>
      <c r="F1360" s="495" t="s">
        <v>921</v>
      </c>
      <c r="G1360" s="335"/>
      <c r="H1360" s="731">
        <v>33.28</v>
      </c>
      <c r="I1360" s="438">
        <v>106556750</v>
      </c>
      <c r="J1360" s="429"/>
      <c r="K1360" s="2443"/>
    </row>
    <row r="1361" spans="1:11" ht="18" customHeight="1" x14ac:dyDescent="0.25">
      <c r="A1361" s="497" t="s">
        <v>1768</v>
      </c>
      <c r="B1361" s="579"/>
      <c r="C1361" s="697">
        <v>378</v>
      </c>
      <c r="D1361" s="470">
        <v>166267182</v>
      </c>
      <c r="E1361" s="429"/>
      <c r="F1361" s="2975" t="s">
        <v>2190</v>
      </c>
      <c r="G1361" s="335" t="s">
        <v>40</v>
      </c>
      <c r="H1361" s="688">
        <v>42.5</v>
      </c>
      <c r="I1361" s="438">
        <v>106556759</v>
      </c>
      <c r="J1361" s="429"/>
      <c r="K1361" s="2443"/>
    </row>
    <row r="1362" spans="1:11" ht="18" customHeight="1" x14ac:dyDescent="0.25">
      <c r="A1362" s="1390" t="s">
        <v>2625</v>
      </c>
      <c r="B1362" s="335" t="s">
        <v>40</v>
      </c>
      <c r="C1362" s="659">
        <v>39.090000000000003</v>
      </c>
      <c r="D1362" s="2096">
        <v>166290281</v>
      </c>
      <c r="E1362" s="429"/>
      <c r="F1362" s="2313" t="s">
        <v>1100</v>
      </c>
      <c r="G1362" s="644" t="s">
        <v>40</v>
      </c>
      <c r="H1362" s="709">
        <v>27.3</v>
      </c>
      <c r="I1362" s="239">
        <v>106557596</v>
      </c>
      <c r="J1362" s="429"/>
      <c r="K1362" s="2443"/>
    </row>
    <row r="1363" spans="1:11" ht="18" customHeight="1" x14ac:dyDescent="0.25">
      <c r="A1363" s="524" t="s">
        <v>1102</v>
      </c>
      <c r="B1363" s="601" t="s">
        <v>40</v>
      </c>
      <c r="C1363" s="697">
        <v>4</v>
      </c>
      <c r="D1363" s="470">
        <v>166391182</v>
      </c>
      <c r="E1363" s="429"/>
      <c r="F1363" s="493" t="s">
        <v>2135</v>
      </c>
      <c r="G1363" s="569" t="s">
        <v>40</v>
      </c>
      <c r="H1363" s="692">
        <v>594.20000000000005</v>
      </c>
      <c r="I1363" s="438">
        <v>106562441</v>
      </c>
      <c r="J1363" s="429"/>
      <c r="K1363" s="2443"/>
    </row>
    <row r="1364" spans="1:11" ht="18" customHeight="1" x14ac:dyDescent="0.25">
      <c r="A1364" s="2498" t="s">
        <v>1100</v>
      </c>
      <c r="B1364" s="569" t="s">
        <v>40</v>
      </c>
      <c r="C1364" s="697">
        <v>47.8</v>
      </c>
      <c r="D1364" s="438">
        <v>166570992</v>
      </c>
      <c r="E1364" s="429"/>
      <c r="F1364" s="2498" t="s">
        <v>2624</v>
      </c>
      <c r="G1364" s="335" t="s">
        <v>40</v>
      </c>
      <c r="H1364" s="658">
        <v>70.099999999999994</v>
      </c>
      <c r="I1364" s="1523">
        <v>106650942</v>
      </c>
      <c r="J1364" s="429"/>
      <c r="K1364" s="2443"/>
    </row>
    <row r="1365" spans="1:11" ht="18" customHeight="1" x14ac:dyDescent="0.25">
      <c r="A1365" s="2975" t="s">
        <v>2190</v>
      </c>
      <c r="B1365" s="569" t="s">
        <v>40</v>
      </c>
      <c r="C1365" s="697">
        <v>71.400000000000006</v>
      </c>
      <c r="D1365" s="470">
        <v>166571085</v>
      </c>
      <c r="E1365" s="429"/>
      <c r="F1365" s="524" t="s">
        <v>1102</v>
      </c>
      <c r="G1365" s="601" t="s">
        <v>40</v>
      </c>
      <c r="H1365" s="737">
        <v>7</v>
      </c>
      <c r="I1365" s="444">
        <v>107064856</v>
      </c>
      <c r="J1365" s="429"/>
      <c r="K1365" s="2443"/>
    </row>
    <row r="1366" spans="1:11" ht="18" customHeight="1" x14ac:dyDescent="0.25">
      <c r="A1366" s="511" t="s">
        <v>921</v>
      </c>
      <c r="B1366" s="335"/>
      <c r="C1366" s="698">
        <v>57.53</v>
      </c>
      <c r="D1366" s="457">
        <v>166571085</v>
      </c>
      <c r="E1366" s="427"/>
      <c r="F1366" s="2981" t="s">
        <v>2626</v>
      </c>
      <c r="G1366" s="335"/>
      <c r="H1366" s="725">
        <v>18.190999999999999</v>
      </c>
      <c r="I1366" s="464">
        <v>107348831</v>
      </c>
      <c r="J1366" s="429"/>
      <c r="K1366" s="2443"/>
    </row>
    <row r="1367" spans="1:11" ht="18" customHeight="1" x14ac:dyDescent="0.25">
      <c r="A1367" s="495" t="s">
        <v>1759</v>
      </c>
      <c r="B1367" s="599"/>
      <c r="C1367" s="697">
        <v>258</v>
      </c>
      <c r="D1367" s="470">
        <v>166684227</v>
      </c>
      <c r="E1367" s="429"/>
      <c r="F1367" s="497" t="s">
        <v>1768</v>
      </c>
      <c r="G1367" s="601"/>
      <c r="H1367" s="694">
        <v>103</v>
      </c>
      <c r="I1367" s="438">
        <v>107934008</v>
      </c>
      <c r="J1367" s="429"/>
      <c r="K1367" s="2443"/>
    </row>
    <row r="1368" spans="1:11" ht="18" customHeight="1" x14ac:dyDescent="0.25">
      <c r="A1368" s="536" t="s">
        <v>503</v>
      </c>
      <c r="B1368" s="620"/>
      <c r="C1368" s="697"/>
      <c r="D1368" s="470">
        <v>166745987</v>
      </c>
      <c r="E1368" s="429"/>
      <c r="F1368" s="497" t="s">
        <v>1759</v>
      </c>
      <c r="G1368" s="606"/>
      <c r="H1368" s="694">
        <v>203</v>
      </c>
      <c r="I1368" s="438">
        <v>108228241</v>
      </c>
      <c r="J1368" s="429"/>
      <c r="K1368" s="2443"/>
    </row>
    <row r="1369" spans="1:11" ht="18" customHeight="1" x14ac:dyDescent="0.25">
      <c r="A1369" s="497" t="s">
        <v>1767</v>
      </c>
      <c r="B1369" s="620"/>
      <c r="C1369" s="697">
        <v>31</v>
      </c>
      <c r="D1369" s="470">
        <v>166746137</v>
      </c>
      <c r="E1369" s="429"/>
      <c r="F1369" s="495" t="s">
        <v>1959</v>
      </c>
      <c r="G1369" s="620"/>
      <c r="H1369" s="694">
        <v>23</v>
      </c>
      <c r="I1369" s="440">
        <v>109325166</v>
      </c>
      <c r="J1369" s="429"/>
      <c r="K1369" s="2443"/>
    </row>
    <row r="1370" spans="1:11" ht="18" customHeight="1" x14ac:dyDescent="0.25">
      <c r="A1370" s="529" t="s">
        <v>958</v>
      </c>
      <c r="B1370" s="623"/>
      <c r="C1370" s="697">
        <v>43.3</v>
      </c>
      <c r="D1370" s="470">
        <v>167187700</v>
      </c>
      <c r="E1370" s="429"/>
      <c r="F1370" s="1390" t="s">
        <v>2625</v>
      </c>
      <c r="G1370" s="335" t="s">
        <v>40</v>
      </c>
      <c r="H1370" s="731">
        <v>27.68</v>
      </c>
      <c r="I1370" s="440">
        <v>111308438</v>
      </c>
      <c r="J1370" s="429"/>
      <c r="K1370" s="2443"/>
    </row>
    <row r="1371" spans="1:11" ht="18" customHeight="1" x14ac:dyDescent="0.25">
      <c r="A1371" s="1483" t="s">
        <v>538</v>
      </c>
      <c r="B1371" s="1484"/>
      <c r="C1371" s="697"/>
      <c r="D1371" s="1485" t="s">
        <v>481</v>
      </c>
      <c r="E1371" s="429"/>
      <c r="F1371" s="528" t="s">
        <v>503</v>
      </c>
      <c r="G1371" s="1481"/>
      <c r="H1371" s="1482"/>
      <c r="I1371" s="492">
        <v>117465972</v>
      </c>
      <c r="J1371" s="429"/>
      <c r="K1371" s="2443"/>
    </row>
    <row r="1372" spans="1:11" ht="18" customHeight="1" x14ac:dyDescent="0.25">
      <c r="A1372" s="525"/>
      <c r="B1372" s="142"/>
      <c r="C1372" s="719"/>
      <c r="D1372" s="177"/>
      <c r="E1372" s="429"/>
      <c r="F1372" s="525"/>
      <c r="G1372" s="561"/>
      <c r="H1372" s="677"/>
      <c r="I1372" s="177"/>
      <c r="J1372" s="429"/>
      <c r="K1372" s="2443"/>
    </row>
    <row r="1373" spans="1:11" ht="18" customHeight="1" x14ac:dyDescent="0.25">
      <c r="A1373" s="140" t="s">
        <v>2744</v>
      </c>
      <c r="B1373" s="140"/>
      <c r="C1373" s="366"/>
      <c r="D1373" s="177"/>
      <c r="E1373" s="429"/>
      <c r="F1373" s="2476"/>
      <c r="G1373" s="526"/>
      <c r="H1373" s="665"/>
      <c r="I1373" s="451"/>
      <c r="J1373" s="429"/>
      <c r="K1373" s="2443"/>
    </row>
    <row r="1374" spans="1:11" ht="18" customHeight="1" x14ac:dyDescent="0.25">
      <c r="A1374" s="140" t="s">
        <v>2745</v>
      </c>
      <c r="B1374" s="140"/>
      <c r="C1374" s="700"/>
      <c r="D1374" s="473"/>
      <c r="E1374" s="429"/>
      <c r="F1374" s="142"/>
      <c r="G1374" s="142"/>
      <c r="H1374" s="366"/>
      <c r="I1374" s="177"/>
      <c r="J1374" s="429"/>
      <c r="K1374" s="2443"/>
    </row>
    <row r="1375" spans="1:11" s="2" customFormat="1" ht="18" customHeight="1" x14ac:dyDescent="0.25">
      <c r="A1375" s="142" t="s">
        <v>2746</v>
      </c>
      <c r="B1375" s="142"/>
      <c r="C1375" s="700"/>
      <c r="D1375" s="473"/>
      <c r="E1375" s="429"/>
      <c r="F1375" s="142"/>
      <c r="G1375" s="142"/>
      <c r="H1375" s="366"/>
      <c r="I1375" s="177"/>
      <c r="J1375" s="432"/>
      <c r="K1375" s="429"/>
    </row>
    <row r="1376" spans="1:11" s="2" customFormat="1" ht="18" customHeight="1" x14ac:dyDescent="0.25">
      <c r="A1376" s="545"/>
      <c r="B1376" s="142"/>
      <c r="C1376" s="700"/>
      <c r="D1376" s="473"/>
      <c r="E1376" s="429"/>
      <c r="F1376" s="142"/>
      <c r="G1376" s="142"/>
      <c r="H1376" s="366"/>
      <c r="I1376" s="177"/>
      <c r="J1376" s="432"/>
      <c r="K1376" s="429"/>
    </row>
    <row r="1377" spans="1:11" s="2" customFormat="1" ht="24.75" customHeight="1" x14ac:dyDescent="0.25">
      <c r="A1377" s="650" t="s">
        <v>1622</v>
      </c>
      <c r="B1377" s="446"/>
      <c r="D1377" s="446"/>
      <c r="E1377" s="429"/>
      <c r="F1377" s="478"/>
      <c r="G1377" s="478"/>
      <c r="H1377" s="711"/>
      <c r="I1377" s="478"/>
      <c r="J1377" s="432"/>
      <c r="K1377" s="429"/>
    </row>
    <row r="1378" spans="1:11" s="2" customFormat="1" ht="18" customHeight="1" thickBot="1" x14ac:dyDescent="0.3">
      <c r="A1378" s="546"/>
      <c r="B1378" s="447"/>
      <c r="C1378" s="424"/>
      <c r="D1378" s="447"/>
      <c r="E1378" s="431"/>
      <c r="F1378" s="558"/>
      <c r="G1378" s="479"/>
      <c r="H1378" s="712"/>
      <c r="I1378" s="479"/>
      <c r="J1378" s="432"/>
      <c r="K1378" s="429"/>
    </row>
    <row r="1379" spans="1:11" s="2" customFormat="1" ht="23.1" customHeight="1" thickTop="1" x14ac:dyDescent="0.25">
      <c r="A1379" s="538"/>
      <c r="B1379" s="448"/>
      <c r="C1379" s="426"/>
      <c r="D1379" s="448"/>
      <c r="E1379" s="432"/>
      <c r="F1379" s="525"/>
      <c r="G1379" s="478"/>
      <c r="H1379" s="711"/>
      <c r="I1379" s="478"/>
      <c r="J1379" s="423"/>
      <c r="K1379" s="429"/>
    </row>
    <row r="1380" spans="1:11" s="2" customFormat="1" ht="4.5" customHeight="1" x14ac:dyDescent="0.25">
      <c r="A1380" s="547"/>
      <c r="B1380" s="545"/>
      <c r="C1380" s="700"/>
      <c r="D1380" s="473"/>
      <c r="E1380" s="429"/>
      <c r="F1380" s="142"/>
      <c r="G1380" s="142"/>
      <c r="H1380" s="366"/>
      <c r="I1380" s="177"/>
      <c r="J1380" s="423"/>
      <c r="K1380" s="429"/>
    </row>
    <row r="1381" spans="1:11" s="2" customFormat="1" ht="18" customHeight="1" x14ac:dyDescent="0.25">
      <c r="A1381" s="5004" t="s">
        <v>2159</v>
      </c>
      <c r="B1381" s="5002"/>
      <c r="C1381" s="5002"/>
      <c r="D1381" s="5005"/>
      <c r="E1381" s="429"/>
      <c r="F1381" s="5001" t="s">
        <v>2162</v>
      </c>
      <c r="G1381" s="5002"/>
      <c r="H1381" s="5002"/>
      <c r="I1381" s="5005"/>
      <c r="J1381" s="423"/>
      <c r="K1381" s="429"/>
    </row>
    <row r="1382" spans="1:11" s="2" customFormat="1" ht="54" customHeight="1" x14ac:dyDescent="0.25">
      <c r="A1382" s="548" t="s">
        <v>2160</v>
      </c>
      <c r="B1382" s="621"/>
      <c r="C1382" s="2430" t="s">
        <v>480</v>
      </c>
      <c r="D1382" s="474">
        <v>39934272</v>
      </c>
      <c r="E1382" s="429"/>
      <c r="F1382" s="548" t="s">
        <v>2161</v>
      </c>
      <c r="G1382" s="621"/>
      <c r="H1382" s="2430" t="s">
        <v>480</v>
      </c>
      <c r="I1382" s="474">
        <v>141840000</v>
      </c>
      <c r="J1382" s="432"/>
      <c r="K1382" s="429"/>
    </row>
    <row r="1383" spans="1:11" s="2" customFormat="1" ht="18" customHeight="1" x14ac:dyDescent="0.25">
      <c r="A1383" s="2496" t="s">
        <v>2621</v>
      </c>
      <c r="B1383" s="584"/>
      <c r="C1383" s="701">
        <v>10212.5</v>
      </c>
      <c r="D1383" s="458">
        <v>34148332</v>
      </c>
      <c r="E1383" s="429"/>
      <c r="F1383" s="2981" t="s">
        <v>2621</v>
      </c>
      <c r="G1383" s="610"/>
      <c r="H1383" s="701">
        <v>37291.599999999999</v>
      </c>
      <c r="I1383" s="1807">
        <v>107038807</v>
      </c>
      <c r="J1383" s="432"/>
      <c r="K1383" s="429"/>
    </row>
    <row r="1384" spans="1:11" s="2" customFormat="1" ht="18" customHeight="1" x14ac:dyDescent="0.25">
      <c r="A1384" s="4711" t="s">
        <v>2643</v>
      </c>
      <c r="B1384" s="569"/>
      <c r="C1384" s="671">
        <v>571.79999999999995</v>
      </c>
      <c r="D1384" s="440">
        <v>34545493</v>
      </c>
      <c r="E1384" s="429"/>
      <c r="F1384" s="497" t="s">
        <v>2026</v>
      </c>
      <c r="G1384" s="335"/>
      <c r="H1384" s="702">
        <v>126.2</v>
      </c>
      <c r="I1384" s="455">
        <v>109611328</v>
      </c>
      <c r="J1384" s="432"/>
      <c r="K1384" s="429"/>
    </row>
    <row r="1385" spans="1:11" s="2" customFormat="1" ht="18" customHeight="1" x14ac:dyDescent="0.25">
      <c r="A1385" s="4656" t="s">
        <v>2495</v>
      </c>
      <c r="B1385" s="1835" t="s">
        <v>40</v>
      </c>
      <c r="C1385" s="3022">
        <v>793.52</v>
      </c>
      <c r="D1385" s="3016">
        <v>34854953</v>
      </c>
      <c r="E1385" s="429"/>
      <c r="F1385" s="3032" t="s">
        <v>1790</v>
      </c>
      <c r="G1385" s="3046"/>
      <c r="H1385" s="3022">
        <v>73.826999999999998</v>
      </c>
      <c r="I1385" s="3019">
        <v>110259136</v>
      </c>
      <c r="J1385" s="432"/>
      <c r="K1385" s="429"/>
    </row>
    <row r="1386" spans="1:11" s="2" customFormat="1" ht="18" customHeight="1" x14ac:dyDescent="0.25">
      <c r="A1386" s="1688" t="s">
        <v>748</v>
      </c>
      <c r="B1386" s="3015" t="s">
        <v>40</v>
      </c>
      <c r="C1386" s="3022">
        <v>507.62</v>
      </c>
      <c r="D1386" s="3016">
        <v>34888345</v>
      </c>
      <c r="E1386" s="429"/>
      <c r="F1386" s="3043" t="s">
        <v>1793</v>
      </c>
      <c r="G1386" s="3045"/>
      <c r="H1386" s="3022">
        <v>197.078</v>
      </c>
      <c r="I1386" s="3016">
        <v>110318188</v>
      </c>
      <c r="J1386" s="432"/>
      <c r="K1386" s="429"/>
    </row>
    <row r="1387" spans="1:11" s="2" customFormat="1" ht="18" customHeight="1" x14ac:dyDescent="0.25">
      <c r="A1387" s="3293" t="s">
        <v>2165</v>
      </c>
      <c r="B1387" s="3194" t="s">
        <v>40</v>
      </c>
      <c r="C1387" s="3201">
        <v>9</v>
      </c>
      <c r="D1387" s="3195">
        <v>35007771</v>
      </c>
      <c r="E1387" s="429"/>
      <c r="F1387" s="3290" t="s">
        <v>2643</v>
      </c>
      <c r="G1387" s="3202"/>
      <c r="H1387" s="3201">
        <v>2237.8000000000002</v>
      </c>
      <c r="I1387" s="3193">
        <v>112179465</v>
      </c>
      <c r="J1387" s="432"/>
      <c r="K1387" s="429"/>
    </row>
    <row r="1388" spans="1:11" s="2" customFormat="1" ht="18" customHeight="1" x14ac:dyDescent="0.25">
      <c r="A1388" s="1688" t="s">
        <v>1833</v>
      </c>
      <c r="B1388" s="3015" t="s">
        <v>40</v>
      </c>
      <c r="C1388" s="3022">
        <v>61.914000000000001</v>
      </c>
      <c r="D1388" s="3019">
        <v>35420299</v>
      </c>
      <c r="E1388" s="429"/>
      <c r="F1388" s="1688" t="s">
        <v>1768</v>
      </c>
      <c r="G1388" s="3015"/>
      <c r="H1388" s="3022">
        <v>82</v>
      </c>
      <c r="I1388" s="3016">
        <v>112671801</v>
      </c>
      <c r="J1388" s="432"/>
      <c r="K1388" s="429"/>
    </row>
    <row r="1389" spans="1:11" s="2" customFormat="1" ht="18" customHeight="1" x14ac:dyDescent="0.25">
      <c r="A1389" s="1488" t="s">
        <v>1790</v>
      </c>
      <c r="B1389" s="3303"/>
      <c r="C1389" s="1643">
        <v>22.954999999999998</v>
      </c>
      <c r="D1389" s="1793">
        <v>35613408</v>
      </c>
      <c r="E1389" s="429"/>
      <c r="F1389" s="1488" t="s">
        <v>1101</v>
      </c>
      <c r="G1389" s="1790"/>
      <c r="H1389" s="1643">
        <v>1073.57</v>
      </c>
      <c r="I1389" s="1792">
        <v>113261896</v>
      </c>
      <c r="J1389" s="432"/>
      <c r="K1389" s="429"/>
    </row>
    <row r="1390" spans="1:11" s="2" customFormat="1" ht="18" customHeight="1" x14ac:dyDescent="0.25">
      <c r="A1390" s="1688" t="s">
        <v>1101</v>
      </c>
      <c r="B1390" s="2043"/>
      <c r="C1390" s="1643">
        <v>313.89</v>
      </c>
      <c r="D1390" s="1792">
        <v>35724580</v>
      </c>
      <c r="E1390" s="429"/>
      <c r="F1390" s="2974" t="s">
        <v>2165</v>
      </c>
      <c r="G1390" s="2043" t="s">
        <v>40</v>
      </c>
      <c r="H1390" s="1643">
        <v>45</v>
      </c>
      <c r="I1390" s="1792">
        <v>114291749</v>
      </c>
      <c r="J1390" s="432"/>
      <c r="K1390" s="429"/>
    </row>
    <row r="1391" spans="1:11" s="2" customFormat="1" ht="18" customHeight="1" x14ac:dyDescent="0.25">
      <c r="A1391" s="1390" t="s">
        <v>1792</v>
      </c>
      <c r="B1391" s="1869"/>
      <c r="C1391" s="1643">
        <v>66.33</v>
      </c>
      <c r="D1391" s="1793">
        <v>36022011</v>
      </c>
      <c r="E1391" s="429"/>
      <c r="F1391" s="497" t="s">
        <v>1792</v>
      </c>
      <c r="G1391" s="1869"/>
      <c r="H1391" s="1643">
        <v>243.48</v>
      </c>
      <c r="I1391" s="1792">
        <v>114572726</v>
      </c>
      <c r="J1391" s="432"/>
      <c r="K1391" s="429"/>
    </row>
    <row r="1392" spans="1:11" s="2" customFormat="1" ht="18" customHeight="1" x14ac:dyDescent="0.25">
      <c r="A1392" s="1390" t="s">
        <v>2026</v>
      </c>
      <c r="B1392" s="2043"/>
      <c r="C1392" s="1643">
        <v>53.9</v>
      </c>
      <c r="D1392" s="1792">
        <v>36592787</v>
      </c>
      <c r="E1392" s="429"/>
      <c r="F1392" s="1488" t="s">
        <v>1833</v>
      </c>
      <c r="G1392" s="2043" t="s">
        <v>40</v>
      </c>
      <c r="H1392" s="1643">
        <v>259.65600000000001</v>
      </c>
      <c r="I1392" s="1792">
        <v>114610339</v>
      </c>
      <c r="J1392" s="432"/>
      <c r="K1392" s="429"/>
    </row>
    <row r="1393" spans="1:11" s="2" customFormat="1" ht="18" customHeight="1" x14ac:dyDescent="0.25">
      <c r="A1393" s="2975" t="s">
        <v>2585</v>
      </c>
      <c r="B1393" s="1803"/>
      <c r="C1393" s="1643">
        <v>22</v>
      </c>
      <c r="D1393" s="1792">
        <v>36769048</v>
      </c>
      <c r="E1393" s="429"/>
      <c r="F1393" s="2975" t="s">
        <v>2556</v>
      </c>
      <c r="G1393" s="2160"/>
      <c r="H1393" s="1643">
        <v>360.5</v>
      </c>
      <c r="I1393" s="1792">
        <v>114916797</v>
      </c>
      <c r="J1393" s="432"/>
      <c r="K1393" s="429"/>
    </row>
    <row r="1394" spans="1:11" s="2" customFormat="1" ht="18" customHeight="1" x14ac:dyDescent="0.25">
      <c r="A1394" s="3330" t="s">
        <v>2152</v>
      </c>
      <c r="B1394" s="335" t="s">
        <v>40</v>
      </c>
      <c r="C1394" s="1643">
        <v>8</v>
      </c>
      <c r="D1394" s="1793">
        <v>36954342</v>
      </c>
      <c r="E1394" s="429"/>
      <c r="F1394" s="2975" t="s">
        <v>2585</v>
      </c>
      <c r="G1394" s="335"/>
      <c r="H1394" s="1643">
        <v>103</v>
      </c>
      <c r="I1394" s="1793">
        <v>115116369</v>
      </c>
      <c r="J1394" s="432"/>
      <c r="K1394" s="429"/>
    </row>
    <row r="1395" spans="1:11" s="2" customFormat="1" ht="18" customHeight="1" x14ac:dyDescent="0.25">
      <c r="A1395" s="2989" t="s">
        <v>2217</v>
      </c>
      <c r="B1395" s="335"/>
      <c r="C1395" s="703">
        <v>83.2</v>
      </c>
      <c r="D1395" s="456">
        <v>36962484</v>
      </c>
      <c r="E1395" s="429"/>
      <c r="F1395" s="3044" t="s">
        <v>2152</v>
      </c>
      <c r="G1395" s="569" t="s">
        <v>40</v>
      </c>
      <c r="H1395" s="704">
        <v>40</v>
      </c>
      <c r="I1395" s="438">
        <v>115505875</v>
      </c>
      <c r="J1395" s="432"/>
      <c r="K1395" s="429"/>
    </row>
    <row r="1396" spans="1:11" s="2" customFormat="1" ht="18" customHeight="1" x14ac:dyDescent="0.25">
      <c r="A1396" s="494" t="s">
        <v>575</v>
      </c>
      <c r="B1396" s="566"/>
      <c r="C1396" s="671">
        <v>50.4</v>
      </c>
      <c r="D1396" s="440">
        <v>36966741</v>
      </c>
      <c r="E1396" s="429"/>
      <c r="F1396" s="507" t="s">
        <v>2495</v>
      </c>
      <c r="G1396" s="569" t="s">
        <v>40</v>
      </c>
      <c r="H1396" s="671">
        <v>2536.85</v>
      </c>
      <c r="I1396" s="440">
        <v>117438790</v>
      </c>
      <c r="J1396" s="432"/>
      <c r="K1396" s="429"/>
    </row>
    <row r="1397" spans="1:11" s="2" customFormat="1" ht="18" customHeight="1" x14ac:dyDescent="0.25">
      <c r="A1397" s="495" t="s">
        <v>1767</v>
      </c>
      <c r="B1397" s="570"/>
      <c r="C1397" s="704">
        <v>8</v>
      </c>
      <c r="D1397" s="440">
        <v>37033099</v>
      </c>
      <c r="E1397" s="429"/>
      <c r="F1397" s="494" t="s">
        <v>748</v>
      </c>
      <c r="G1397" s="569" t="s">
        <v>40</v>
      </c>
      <c r="H1397" s="671">
        <v>1772.6</v>
      </c>
      <c r="I1397" s="440">
        <v>117798172</v>
      </c>
      <c r="J1397" s="432"/>
      <c r="K1397" s="429"/>
    </row>
    <row r="1398" spans="1:11" s="2" customFormat="1" ht="18" customHeight="1" x14ac:dyDescent="0.25">
      <c r="A1398" s="1455" t="s">
        <v>1756</v>
      </c>
      <c r="B1398" s="569" t="s">
        <v>40</v>
      </c>
      <c r="C1398" s="671">
        <v>24.96</v>
      </c>
      <c r="D1398" s="438">
        <v>37052117</v>
      </c>
      <c r="E1398" s="429"/>
      <c r="F1398" s="494" t="s">
        <v>1756</v>
      </c>
      <c r="G1398" s="569" t="s">
        <v>40</v>
      </c>
      <c r="H1398" s="704">
        <v>115.23</v>
      </c>
      <c r="I1398" s="438">
        <v>118056831</v>
      </c>
      <c r="J1398" s="432"/>
      <c r="K1398" s="429"/>
    </row>
    <row r="1399" spans="1:11" s="2" customFormat="1" ht="18" customHeight="1" x14ac:dyDescent="0.25">
      <c r="A1399" s="1762" t="s">
        <v>1826</v>
      </c>
      <c r="B1399" s="601" t="s">
        <v>40</v>
      </c>
      <c r="C1399" s="702">
        <v>57.686999999999998</v>
      </c>
      <c r="D1399" s="455">
        <v>37113787</v>
      </c>
      <c r="E1399" s="429"/>
      <c r="F1399" s="495" t="s">
        <v>1767</v>
      </c>
      <c r="G1399" s="566"/>
      <c r="H1399" s="671">
        <v>31</v>
      </c>
      <c r="I1399" s="440">
        <v>118536055</v>
      </c>
      <c r="J1399" s="432"/>
      <c r="K1399" s="429"/>
    </row>
    <row r="1400" spans="1:11" s="2" customFormat="1" ht="18" customHeight="1" x14ac:dyDescent="0.25">
      <c r="A1400" s="511" t="s">
        <v>1594</v>
      </c>
      <c r="B1400" s="335" t="s">
        <v>40</v>
      </c>
      <c r="C1400" s="671">
        <v>9.25</v>
      </c>
      <c r="D1400" s="438">
        <v>37172612</v>
      </c>
      <c r="E1400" s="429"/>
      <c r="F1400" s="495" t="s">
        <v>1758</v>
      </c>
      <c r="G1400" s="335"/>
      <c r="H1400" s="671">
        <v>524.20000000000005</v>
      </c>
      <c r="I1400" s="438">
        <v>118696360</v>
      </c>
      <c r="J1400" s="432"/>
      <c r="K1400" s="429"/>
    </row>
    <row r="1401" spans="1:11" s="2" customFormat="1" ht="18" customHeight="1" x14ac:dyDescent="0.25">
      <c r="A1401" s="496" t="s">
        <v>958</v>
      </c>
      <c r="B1401" s="335"/>
      <c r="C1401" s="657">
        <v>34.14</v>
      </c>
      <c r="D1401" s="457">
        <v>37386848</v>
      </c>
      <c r="E1401" s="427"/>
      <c r="F1401" s="511" t="s">
        <v>575</v>
      </c>
      <c r="G1401" s="335"/>
      <c r="H1401" s="1643">
        <v>167.8</v>
      </c>
      <c r="I1401" s="457">
        <v>118882105</v>
      </c>
      <c r="J1401" s="432"/>
      <c r="K1401" s="429"/>
    </row>
    <row r="1402" spans="1:11" s="2" customFormat="1" ht="18" customHeight="1" x14ac:dyDescent="0.25">
      <c r="A1402" s="523" t="s">
        <v>2556</v>
      </c>
      <c r="B1402" s="569"/>
      <c r="C1402" s="704">
        <v>89.5</v>
      </c>
      <c r="D1402" s="438">
        <v>37435380</v>
      </c>
      <c r="E1402" s="429"/>
      <c r="F1402" s="511" t="s">
        <v>2166</v>
      </c>
      <c r="G1402" s="335" t="s">
        <v>40</v>
      </c>
      <c r="H1402" s="702">
        <v>2</v>
      </c>
      <c r="I1402" s="455">
        <v>118948748</v>
      </c>
      <c r="J1402" s="432"/>
      <c r="K1402" s="429"/>
    </row>
    <row r="1403" spans="1:11" s="2" customFormat="1" ht="18" customHeight="1" x14ac:dyDescent="0.25">
      <c r="A1403" s="493" t="s">
        <v>578</v>
      </c>
      <c r="B1403" s="601" t="s">
        <v>40</v>
      </c>
      <c r="C1403" s="702">
        <v>114.84</v>
      </c>
      <c r="D1403" s="455">
        <v>37470320</v>
      </c>
      <c r="E1403" s="429"/>
      <c r="F1403" s="3008" t="s">
        <v>2217</v>
      </c>
      <c r="G1403" s="601"/>
      <c r="H1403" s="702">
        <v>279.5</v>
      </c>
      <c r="I1403" s="455">
        <v>119168695</v>
      </c>
      <c r="J1403" s="432"/>
      <c r="K1403" s="429"/>
    </row>
    <row r="1404" spans="1:11" s="2" customFormat="1" ht="18" customHeight="1" x14ac:dyDescent="0.25">
      <c r="A1404" s="3013" t="s">
        <v>2134</v>
      </c>
      <c r="B1404" s="1364"/>
      <c r="C1404" s="1392">
        <v>35.9</v>
      </c>
      <c r="D1404" s="464">
        <v>37519703</v>
      </c>
      <c r="E1404" s="429"/>
      <c r="F1404" s="1760" t="s">
        <v>1826</v>
      </c>
      <c r="G1404" s="1384" t="s">
        <v>40</v>
      </c>
      <c r="H1404" s="1392">
        <v>176.19499999999999</v>
      </c>
      <c r="I1404" s="457">
        <v>119604753</v>
      </c>
      <c r="J1404" s="432"/>
      <c r="K1404" s="429"/>
    </row>
    <row r="1405" spans="1:11" s="2" customFormat="1" ht="18" customHeight="1" x14ac:dyDescent="0.25">
      <c r="A1405" s="1390" t="s">
        <v>2135</v>
      </c>
      <c r="B1405" s="1364" t="s">
        <v>40</v>
      </c>
      <c r="C1405" s="1392">
        <v>164.8</v>
      </c>
      <c r="D1405" s="464">
        <v>37568101</v>
      </c>
      <c r="E1405" s="429"/>
      <c r="F1405" s="3014" t="s">
        <v>2134</v>
      </c>
      <c r="G1405" s="1364"/>
      <c r="H1405" s="1392">
        <v>114.6</v>
      </c>
      <c r="I1405" s="457">
        <v>119820256</v>
      </c>
      <c r="J1405" s="432"/>
      <c r="K1405" s="429"/>
    </row>
    <row r="1406" spans="1:11" s="2" customFormat="1" ht="18" customHeight="1" x14ac:dyDescent="0.25">
      <c r="A1406" s="1465" t="s">
        <v>1711</v>
      </c>
      <c r="B1406" s="585" t="s">
        <v>40</v>
      </c>
      <c r="C1406" s="671">
        <v>14.916</v>
      </c>
      <c r="D1406" s="438">
        <v>37597696</v>
      </c>
      <c r="E1406" s="429"/>
      <c r="F1406" s="524" t="s">
        <v>1102</v>
      </c>
      <c r="G1406" s="601" t="s">
        <v>40</v>
      </c>
      <c r="H1406" s="1392">
        <v>8</v>
      </c>
      <c r="I1406" s="464">
        <v>120394722</v>
      </c>
      <c r="J1406" s="432"/>
      <c r="K1406" s="429"/>
    </row>
    <row r="1407" spans="1:11" s="2" customFormat="1" ht="18" customHeight="1" x14ac:dyDescent="0.25">
      <c r="A1407" s="493" t="s">
        <v>1758</v>
      </c>
      <c r="B1407" s="579"/>
      <c r="C1407" s="671">
        <v>188</v>
      </c>
      <c r="D1407" s="440">
        <v>37669073</v>
      </c>
      <c r="E1407" s="429"/>
      <c r="F1407" s="523" t="s">
        <v>2626</v>
      </c>
      <c r="G1407" s="569"/>
      <c r="H1407" s="671">
        <v>20.068000000000001</v>
      </c>
      <c r="I1407" s="438">
        <v>121673279</v>
      </c>
      <c r="J1407" s="432"/>
      <c r="K1407" s="429"/>
    </row>
    <row r="1408" spans="1:11" s="2" customFormat="1" ht="18" customHeight="1" x14ac:dyDescent="0.25">
      <c r="A1408" s="532" t="s">
        <v>1793</v>
      </c>
      <c r="B1408" s="566"/>
      <c r="C1408" s="705">
        <v>61.921999999999997</v>
      </c>
      <c r="D1408" s="333">
        <v>37781467</v>
      </c>
      <c r="E1408" s="429"/>
      <c r="F1408" s="509" t="s">
        <v>504</v>
      </c>
      <c r="G1408" s="601" t="s">
        <v>40</v>
      </c>
      <c r="H1408" s="704">
        <v>0</v>
      </c>
      <c r="I1408" s="438">
        <v>121995069</v>
      </c>
      <c r="J1408" s="432"/>
      <c r="K1408" s="429"/>
    </row>
    <row r="1409" spans="1:11" s="2" customFormat="1" ht="18" customHeight="1" x14ac:dyDescent="0.25">
      <c r="A1409" s="523" t="s">
        <v>2626</v>
      </c>
      <c r="B1409" s="335"/>
      <c r="C1409" s="706">
        <v>5.593</v>
      </c>
      <c r="D1409" s="442">
        <v>38193698</v>
      </c>
      <c r="E1409" s="429"/>
      <c r="F1409" s="493" t="s">
        <v>2135</v>
      </c>
      <c r="G1409" s="335" t="s">
        <v>40</v>
      </c>
      <c r="H1409" s="705">
        <v>693.3</v>
      </c>
      <c r="I1409" s="333">
        <v>123331529</v>
      </c>
      <c r="J1409" s="432"/>
      <c r="K1409" s="429"/>
    </row>
    <row r="1410" spans="1:11" s="2" customFormat="1" ht="18" customHeight="1" x14ac:dyDescent="0.25">
      <c r="A1410" s="523" t="s">
        <v>2624</v>
      </c>
      <c r="B1410" s="335" t="s">
        <v>40</v>
      </c>
      <c r="C1410" s="671">
        <v>13.49</v>
      </c>
      <c r="D1410" s="438">
        <v>38494371</v>
      </c>
      <c r="E1410" s="429"/>
      <c r="F1410" s="511" t="s">
        <v>1711</v>
      </c>
      <c r="G1410" s="335" t="s">
        <v>40</v>
      </c>
      <c r="H1410" s="706">
        <v>54.093000000000004</v>
      </c>
      <c r="I1410" s="442">
        <v>124099200</v>
      </c>
      <c r="J1410" s="432"/>
      <c r="K1410" s="429"/>
    </row>
    <row r="1411" spans="1:11" s="2" customFormat="1" ht="18" customHeight="1" x14ac:dyDescent="0.25">
      <c r="A1411" s="493" t="s">
        <v>2625</v>
      </c>
      <c r="B1411" s="579" t="s">
        <v>40</v>
      </c>
      <c r="C1411" s="1645">
        <v>9.23</v>
      </c>
      <c r="D1411" s="440">
        <v>38520946</v>
      </c>
      <c r="E1411" s="429"/>
      <c r="F1411" s="493" t="s">
        <v>1759</v>
      </c>
      <c r="G1411" s="606"/>
      <c r="H1411" s="671">
        <v>197</v>
      </c>
      <c r="I1411" s="438">
        <v>125876403</v>
      </c>
      <c r="J1411" s="432"/>
      <c r="K1411" s="429"/>
    </row>
    <row r="1412" spans="1:11" s="2" customFormat="1" ht="18" customHeight="1" x14ac:dyDescent="0.25">
      <c r="A1412" s="497" t="s">
        <v>1768</v>
      </c>
      <c r="B1412" s="579"/>
      <c r="C1412" s="688">
        <v>29</v>
      </c>
      <c r="D1412" s="239">
        <v>38524607</v>
      </c>
      <c r="E1412" s="429"/>
      <c r="F1412" s="499" t="s">
        <v>1594</v>
      </c>
      <c r="G1412" s="569" t="s">
        <v>40</v>
      </c>
      <c r="H1412" s="671">
        <v>36.5</v>
      </c>
      <c r="I1412" s="440">
        <v>126673212</v>
      </c>
      <c r="J1412" s="432"/>
      <c r="K1412" s="429"/>
    </row>
    <row r="1413" spans="1:11" s="2" customFormat="1" ht="18" customHeight="1" x14ac:dyDescent="0.25">
      <c r="A1413" s="1390" t="s">
        <v>1959</v>
      </c>
      <c r="B1413" s="570"/>
      <c r="C1413" s="731">
        <v>4</v>
      </c>
      <c r="D1413" s="1793">
        <v>38539746</v>
      </c>
      <c r="E1413" s="429"/>
      <c r="F1413" s="1390" t="s">
        <v>578</v>
      </c>
      <c r="G1413" s="335" t="s">
        <v>40</v>
      </c>
      <c r="H1413" s="1643">
        <v>90.9</v>
      </c>
      <c r="I1413" s="1792">
        <v>127266618</v>
      </c>
      <c r="J1413" s="432"/>
      <c r="K1413" s="429"/>
    </row>
    <row r="1414" spans="1:11" s="2" customFormat="1" ht="18" customHeight="1" x14ac:dyDescent="0.25">
      <c r="A1414" s="3007" t="s">
        <v>2166</v>
      </c>
      <c r="B1414" s="579" t="s">
        <v>40</v>
      </c>
      <c r="C1414" s="690">
        <v>0.5</v>
      </c>
      <c r="D1414" s="455">
        <v>38819005</v>
      </c>
      <c r="E1414" s="429"/>
      <c r="F1414" s="498" t="s">
        <v>958</v>
      </c>
      <c r="G1414" s="579"/>
      <c r="H1414" s="702">
        <v>120.4</v>
      </c>
      <c r="I1414" s="455">
        <v>128194917</v>
      </c>
      <c r="J1414" s="432"/>
      <c r="K1414" s="429"/>
    </row>
    <row r="1415" spans="1:11" s="2" customFormat="1" ht="18" customHeight="1" x14ac:dyDescent="0.25">
      <c r="A1415" s="524" t="s">
        <v>1102</v>
      </c>
      <c r="B1415" s="601" t="s">
        <v>40</v>
      </c>
      <c r="C1415" s="704">
        <v>2</v>
      </c>
      <c r="D1415" s="440">
        <v>38974426</v>
      </c>
      <c r="E1415" s="429"/>
      <c r="F1415" s="2996" t="s">
        <v>2624</v>
      </c>
      <c r="G1415" s="585" t="s">
        <v>40</v>
      </c>
      <c r="H1415" s="704">
        <v>81.8</v>
      </c>
      <c r="I1415" s="440">
        <v>129320191</v>
      </c>
      <c r="J1415" s="432"/>
      <c r="K1415" s="429"/>
    </row>
    <row r="1416" spans="1:11" s="2" customFormat="1" ht="18" customHeight="1" x14ac:dyDescent="0.25">
      <c r="A1416" s="493" t="s">
        <v>921</v>
      </c>
      <c r="B1416" s="569"/>
      <c r="C1416" s="704">
        <v>12.39</v>
      </c>
      <c r="D1416" s="438">
        <v>39015709</v>
      </c>
      <c r="E1416" s="429"/>
      <c r="F1416" s="500" t="s">
        <v>2625</v>
      </c>
      <c r="G1416" s="569" t="s">
        <v>40</v>
      </c>
      <c r="H1416" s="671">
        <v>34.07</v>
      </c>
      <c r="I1416" s="438">
        <v>133228509</v>
      </c>
      <c r="J1416" s="432"/>
      <c r="K1416" s="429"/>
    </row>
    <row r="1417" spans="1:11" s="2" customFormat="1" ht="18" customHeight="1" x14ac:dyDescent="0.25">
      <c r="A1417" s="2498" t="s">
        <v>1100</v>
      </c>
      <c r="B1417" s="569" t="s">
        <v>40</v>
      </c>
      <c r="C1417" s="704">
        <v>10.5</v>
      </c>
      <c r="D1417" s="438">
        <v>39016625</v>
      </c>
      <c r="E1417" s="429"/>
      <c r="F1417" s="510" t="s">
        <v>1959</v>
      </c>
      <c r="G1417" s="620"/>
      <c r="H1417" s="671">
        <v>17</v>
      </c>
      <c r="I1417" s="440">
        <v>133261099</v>
      </c>
      <c r="J1417" s="432"/>
      <c r="K1417" s="429"/>
    </row>
    <row r="1418" spans="1:11" s="2" customFormat="1" ht="18" customHeight="1" x14ac:dyDescent="0.25">
      <c r="A1418" s="495" t="s">
        <v>1759</v>
      </c>
      <c r="B1418" s="606"/>
      <c r="C1418" s="671">
        <v>58</v>
      </c>
      <c r="D1418" s="438">
        <v>39021170</v>
      </c>
      <c r="E1418" s="429"/>
      <c r="F1418" s="2498" t="s">
        <v>1100</v>
      </c>
      <c r="G1418" s="569" t="s">
        <v>40</v>
      </c>
      <c r="H1418" s="704">
        <v>37.75</v>
      </c>
      <c r="I1418" s="440">
        <v>136046407</v>
      </c>
      <c r="J1418" s="432"/>
      <c r="K1418" s="429"/>
    </row>
    <row r="1419" spans="1:11" s="2" customFormat="1" ht="18" customHeight="1" x14ac:dyDescent="0.25">
      <c r="A1419" s="549" t="s">
        <v>504</v>
      </c>
      <c r="B1419" s="569" t="s">
        <v>40</v>
      </c>
      <c r="C1419" s="704">
        <v>0</v>
      </c>
      <c r="D1419" s="470">
        <v>39897867</v>
      </c>
      <c r="E1419" s="429"/>
      <c r="F1419" s="493" t="s">
        <v>921</v>
      </c>
      <c r="G1419" s="569"/>
      <c r="H1419" s="671">
        <v>86</v>
      </c>
      <c r="I1419" s="440">
        <v>136046896</v>
      </c>
      <c r="J1419" s="432"/>
      <c r="K1419" s="429"/>
    </row>
    <row r="1420" spans="1:11" s="2" customFormat="1" ht="18" customHeight="1" x14ac:dyDescent="0.25">
      <c r="A1420" s="1470" t="s">
        <v>503</v>
      </c>
      <c r="B1420" s="1479"/>
      <c r="C1420" s="1393"/>
      <c r="D1420" s="1478">
        <v>39934272</v>
      </c>
      <c r="E1420" s="429"/>
      <c r="F1420" s="528" t="s">
        <v>503</v>
      </c>
      <c r="G1420" s="1479"/>
      <c r="H1420" s="1480"/>
      <c r="I1420" s="1478">
        <v>141840000</v>
      </c>
      <c r="J1420" s="432"/>
      <c r="K1420" s="429"/>
    </row>
    <row r="1421" spans="1:11" s="2" customFormat="1" ht="18" customHeight="1" x14ac:dyDescent="0.25">
      <c r="A1421" s="449"/>
      <c r="B1421" s="575"/>
      <c r="C1421" s="677"/>
      <c r="D1421" s="177"/>
      <c r="E1421" s="429"/>
      <c r="F1421" s="525"/>
      <c r="G1421" s="575"/>
      <c r="H1421" s="677"/>
      <c r="I1421" s="445"/>
      <c r="J1421" s="432"/>
      <c r="K1421" s="429"/>
    </row>
    <row r="1422" spans="1:11" s="2" customFormat="1" ht="18" customHeight="1" x14ac:dyDescent="0.25">
      <c r="A1422" s="545"/>
      <c r="B1422" s="545"/>
      <c r="C1422" s="700"/>
      <c r="D1422" s="473"/>
      <c r="E1422" s="429"/>
      <c r="F1422" s="142"/>
      <c r="G1422" s="142"/>
      <c r="H1422" s="366"/>
      <c r="I1422" s="177"/>
      <c r="J1422" s="432"/>
      <c r="K1422" s="429"/>
    </row>
    <row r="1423" spans="1:11" s="2" customFormat="1" ht="18" customHeight="1" x14ac:dyDescent="0.25">
      <c r="A1423" s="545"/>
      <c r="B1423" s="545"/>
      <c r="C1423" s="700"/>
      <c r="D1423" s="473"/>
      <c r="E1423" s="429"/>
      <c r="F1423" s="142"/>
      <c r="G1423" s="142"/>
      <c r="H1423" s="366"/>
      <c r="I1423" s="177"/>
      <c r="J1423" s="432"/>
      <c r="K1423" s="429"/>
    </row>
    <row r="1424" spans="1:11" s="2" customFormat="1" ht="18" customHeight="1" x14ac:dyDescent="0.25">
      <c r="A1424" s="4999" t="s">
        <v>2164</v>
      </c>
      <c r="B1424" s="5000"/>
      <c r="C1424" s="5000"/>
      <c r="D1424" s="5000"/>
      <c r="E1424" s="2477"/>
      <c r="F1424" s="5001" t="s">
        <v>505</v>
      </c>
      <c r="G1424" s="5002"/>
      <c r="H1424" s="5002"/>
      <c r="I1424" s="5003"/>
      <c r="J1424" s="432"/>
      <c r="K1424" s="429"/>
    </row>
    <row r="1425" spans="1:11" s="2" customFormat="1" ht="43.5" customHeight="1" x14ac:dyDescent="0.25">
      <c r="A1425" s="548" t="s">
        <v>2163</v>
      </c>
      <c r="B1425" s="621"/>
      <c r="C1425" s="2430" t="s">
        <v>480</v>
      </c>
      <c r="D1425" s="474">
        <v>194118968</v>
      </c>
      <c r="E1425" s="429"/>
      <c r="F1425" s="548" t="s">
        <v>506</v>
      </c>
      <c r="G1425" s="621"/>
      <c r="H1425" s="707" t="s">
        <v>480</v>
      </c>
      <c r="I1425" s="474">
        <v>10860886</v>
      </c>
      <c r="J1425" s="432"/>
      <c r="K1425" s="429"/>
    </row>
    <row r="1426" spans="1:11" s="2" customFormat="1" ht="18" customHeight="1" x14ac:dyDescent="0.25">
      <c r="A1426" s="2491" t="s">
        <v>2621</v>
      </c>
      <c r="B1426" s="584"/>
      <c r="C1426" s="3047">
        <v>48557.2</v>
      </c>
      <c r="D1426" s="490">
        <v>142586731</v>
      </c>
      <c r="E1426" s="429"/>
      <c r="F1426" s="543" t="s">
        <v>507</v>
      </c>
      <c r="G1426" s="621"/>
      <c r="H1426" s="704"/>
      <c r="I1426" s="475"/>
      <c r="J1426" s="432"/>
      <c r="K1426" s="429"/>
    </row>
    <row r="1427" spans="1:11" s="2" customFormat="1" ht="18" customHeight="1" x14ac:dyDescent="0.25">
      <c r="A1427" s="497" t="s">
        <v>1101</v>
      </c>
      <c r="B1427" s="569"/>
      <c r="C1427" s="671">
        <v>1433.25</v>
      </c>
      <c r="D1427" s="438">
        <v>145765069</v>
      </c>
      <c r="E1427" s="429"/>
      <c r="F1427" s="543" t="s">
        <v>508</v>
      </c>
      <c r="G1427" s="621"/>
      <c r="H1427" s="704"/>
      <c r="I1427" s="475"/>
      <c r="J1427" s="432"/>
      <c r="K1427" s="429"/>
    </row>
    <row r="1428" spans="1:11" s="2" customFormat="1" ht="18" customHeight="1" x14ac:dyDescent="0.25">
      <c r="A1428" s="1829" t="s">
        <v>2643</v>
      </c>
      <c r="B1428" s="335"/>
      <c r="C1428" s="703">
        <v>3119.2</v>
      </c>
      <c r="D1428" s="441">
        <v>147009393</v>
      </c>
      <c r="E1428" s="429"/>
      <c r="F1428" s="550" t="s">
        <v>1765</v>
      </c>
      <c r="G1428" s="610"/>
      <c r="H1428" s="701">
        <v>0</v>
      </c>
      <c r="I1428" s="458">
        <v>790</v>
      </c>
      <c r="J1428" s="432"/>
      <c r="K1428" s="429"/>
    </row>
    <row r="1429" spans="1:11" s="2" customFormat="1" ht="18" customHeight="1" x14ac:dyDescent="0.25">
      <c r="A1429" s="497" t="s">
        <v>1790</v>
      </c>
      <c r="B1429" s="623"/>
      <c r="C1429" s="671">
        <v>79.028000000000006</v>
      </c>
      <c r="D1429" s="440">
        <v>149315056</v>
      </c>
      <c r="E1429" s="429"/>
      <c r="F1429" s="523" t="s">
        <v>2621</v>
      </c>
      <c r="G1429" s="569"/>
      <c r="H1429" s="704">
        <v>2614.4</v>
      </c>
      <c r="I1429" s="438">
        <v>15483</v>
      </c>
      <c r="J1429" s="432"/>
      <c r="K1429" s="429"/>
    </row>
    <row r="1430" spans="1:11" s="2" customFormat="1" ht="18" customHeight="1" x14ac:dyDescent="0.25">
      <c r="A1430" s="3032" t="s">
        <v>1792</v>
      </c>
      <c r="B1430" s="3046"/>
      <c r="C1430" s="3022">
        <v>329.69</v>
      </c>
      <c r="D1430" s="3019">
        <v>149487889</v>
      </c>
      <c r="E1430" s="429"/>
      <c r="F1430" s="4724" t="s">
        <v>1766</v>
      </c>
      <c r="G1430" s="1835"/>
      <c r="H1430" s="3022">
        <v>0</v>
      </c>
      <c r="I1430" s="3016">
        <v>97890</v>
      </c>
      <c r="J1430" s="432"/>
      <c r="K1430" s="429"/>
    </row>
    <row r="1431" spans="1:11" s="2" customFormat="1" ht="18" customHeight="1" x14ac:dyDescent="0.25">
      <c r="A1431" s="1688" t="s">
        <v>1833</v>
      </c>
      <c r="B1431" s="3015" t="s">
        <v>40</v>
      </c>
      <c r="C1431" s="3022">
        <v>378.68400000000003</v>
      </c>
      <c r="D1431" s="3019">
        <v>150027815</v>
      </c>
      <c r="E1431" s="429"/>
      <c r="F1431" s="2957" t="s">
        <v>2643</v>
      </c>
      <c r="G1431" s="3015"/>
      <c r="H1431" s="3022">
        <v>116.8</v>
      </c>
      <c r="I1431" s="3019">
        <v>115336</v>
      </c>
      <c r="J1431" s="432"/>
      <c r="K1431" s="429"/>
    </row>
    <row r="1432" spans="1:11" s="2" customFormat="1" ht="18" customHeight="1" x14ac:dyDescent="0.25">
      <c r="A1432" s="3293" t="s">
        <v>2165</v>
      </c>
      <c r="B1432" s="3194" t="s">
        <v>40</v>
      </c>
      <c r="C1432" s="3201">
        <v>62</v>
      </c>
      <c r="D1432" s="3195">
        <v>150334056</v>
      </c>
      <c r="E1432" s="429"/>
      <c r="F1432" s="4649" t="s">
        <v>2495</v>
      </c>
      <c r="G1432" s="3194" t="s">
        <v>40</v>
      </c>
      <c r="H1432" s="3201">
        <v>99.43</v>
      </c>
      <c r="I1432" s="3195">
        <v>132081</v>
      </c>
      <c r="J1432" s="432"/>
      <c r="K1432" s="429"/>
    </row>
    <row r="1433" spans="1:11" s="2" customFormat="1" ht="18" customHeight="1" x14ac:dyDescent="0.25">
      <c r="A1433" s="1688" t="s">
        <v>1767</v>
      </c>
      <c r="B1433" s="3045"/>
      <c r="C1433" s="3022">
        <v>37</v>
      </c>
      <c r="D1433" s="3019">
        <v>151454478</v>
      </c>
      <c r="E1433" s="429"/>
      <c r="F1433" s="1688" t="s">
        <v>1833</v>
      </c>
      <c r="G1433" s="3015" t="s">
        <v>40</v>
      </c>
      <c r="H1433" s="3022">
        <v>35.527000000000001</v>
      </c>
      <c r="I1433" s="3019">
        <v>140374</v>
      </c>
      <c r="J1433" s="432"/>
      <c r="K1433" s="429"/>
    </row>
    <row r="1434" spans="1:11" s="2" customFormat="1" ht="18" customHeight="1" x14ac:dyDescent="0.25">
      <c r="A1434" s="2496" t="s">
        <v>2585</v>
      </c>
      <c r="B1434" s="335"/>
      <c r="C1434" s="704">
        <v>131</v>
      </c>
      <c r="D1434" s="440">
        <v>151668072</v>
      </c>
      <c r="E1434" s="429"/>
      <c r="F1434" s="495" t="s">
        <v>748</v>
      </c>
      <c r="G1434" s="335" t="s">
        <v>40</v>
      </c>
      <c r="H1434" s="703">
        <v>85.41</v>
      </c>
      <c r="I1434" s="441">
        <v>143254</v>
      </c>
      <c r="J1434" s="432"/>
      <c r="K1434" s="429"/>
    </row>
    <row r="1435" spans="1:11" s="2" customFormat="1" ht="18" customHeight="1" x14ac:dyDescent="0.25">
      <c r="A1435" s="2976" t="s">
        <v>2152</v>
      </c>
      <c r="B1435" s="2043" t="s">
        <v>40</v>
      </c>
      <c r="C1435" s="1643">
        <v>49</v>
      </c>
      <c r="D1435" s="1793">
        <v>152321987</v>
      </c>
      <c r="E1435" s="429"/>
      <c r="F1435" s="1688" t="s">
        <v>2026</v>
      </c>
      <c r="G1435" s="2043"/>
      <c r="H1435" s="1643">
        <v>4.0999999999999996</v>
      </c>
      <c r="I1435" s="1792">
        <v>184580</v>
      </c>
      <c r="J1435" s="432"/>
      <c r="K1435" s="429"/>
    </row>
    <row r="1436" spans="1:11" s="2" customFormat="1" ht="18" customHeight="1" x14ac:dyDescent="0.25">
      <c r="A1436" s="2975" t="s">
        <v>2556</v>
      </c>
      <c r="B1436" s="2043"/>
      <c r="C1436" s="1643">
        <v>475.13</v>
      </c>
      <c r="D1436" s="1793">
        <v>153235641</v>
      </c>
      <c r="E1436" s="429"/>
      <c r="F1436" s="1390" t="s">
        <v>1792</v>
      </c>
      <c r="G1436" s="2050"/>
      <c r="H1436" s="1643">
        <v>17.22</v>
      </c>
      <c r="I1436" s="1792">
        <v>207493</v>
      </c>
      <c r="J1436" s="432"/>
      <c r="K1436" s="429"/>
    </row>
    <row r="1437" spans="1:11" s="2" customFormat="1" ht="18" customHeight="1" x14ac:dyDescent="0.25">
      <c r="A1437" s="497" t="s">
        <v>2135</v>
      </c>
      <c r="B1437" s="601" t="s">
        <v>40</v>
      </c>
      <c r="C1437" s="671">
        <v>737.2</v>
      </c>
      <c r="D1437" s="440">
        <v>154284614</v>
      </c>
      <c r="E1437" s="429"/>
      <c r="F1437" s="511" t="s">
        <v>575</v>
      </c>
      <c r="G1437" s="572"/>
      <c r="H1437" s="702">
        <v>15.7</v>
      </c>
      <c r="I1437" s="455">
        <v>211537</v>
      </c>
      <c r="J1437" s="432"/>
      <c r="K1437" s="429"/>
    </row>
    <row r="1438" spans="1:11" s="2" customFormat="1" ht="18" customHeight="1" x14ac:dyDescent="0.25">
      <c r="A1438" s="2095" t="s">
        <v>1102</v>
      </c>
      <c r="B1438" s="1805" t="s">
        <v>40</v>
      </c>
      <c r="C1438" s="1643">
        <v>9</v>
      </c>
      <c r="D1438" s="1793">
        <v>155670346</v>
      </c>
      <c r="E1438" s="429"/>
      <c r="F1438" s="2975" t="s">
        <v>2556</v>
      </c>
      <c r="G1438" s="1803"/>
      <c r="H1438" s="1643">
        <v>33.06</v>
      </c>
      <c r="I1438" s="1793">
        <v>219591</v>
      </c>
      <c r="J1438" s="432"/>
      <c r="K1438" s="429"/>
    </row>
    <row r="1439" spans="1:11" s="2" customFormat="1" ht="18" customHeight="1" x14ac:dyDescent="0.25">
      <c r="A1439" s="1488" t="s">
        <v>1758</v>
      </c>
      <c r="B1439" s="1805"/>
      <c r="C1439" s="1643">
        <v>838.3</v>
      </c>
      <c r="D1439" s="1793">
        <v>155730049</v>
      </c>
      <c r="E1439" s="429"/>
      <c r="F1439" s="1488" t="s">
        <v>1101</v>
      </c>
      <c r="G1439" s="1790"/>
      <c r="H1439" s="1643">
        <v>6.54</v>
      </c>
      <c r="I1439" s="1793">
        <v>228793</v>
      </c>
      <c r="J1439" s="432"/>
      <c r="K1439" s="429"/>
    </row>
    <row r="1440" spans="1:11" s="2" customFormat="1" ht="18" customHeight="1" x14ac:dyDescent="0.25">
      <c r="A1440" s="493" t="s">
        <v>1768</v>
      </c>
      <c r="B1440" s="569"/>
      <c r="C1440" s="671">
        <v>156</v>
      </c>
      <c r="D1440" s="438">
        <v>156562243</v>
      </c>
      <c r="E1440" s="429"/>
      <c r="F1440" s="2045" t="s">
        <v>1826</v>
      </c>
      <c r="G1440" s="569" t="s">
        <v>40</v>
      </c>
      <c r="H1440" s="671">
        <v>7.64</v>
      </c>
      <c r="I1440" s="438">
        <v>246690</v>
      </c>
      <c r="J1440" s="432"/>
      <c r="K1440" s="429"/>
    </row>
    <row r="1441" spans="1:11" s="2" customFormat="1" ht="18" customHeight="1" x14ac:dyDescent="0.25">
      <c r="A1441" s="497" t="s">
        <v>2166</v>
      </c>
      <c r="B1441" s="601" t="s">
        <v>40</v>
      </c>
      <c r="C1441" s="702">
        <v>1</v>
      </c>
      <c r="D1441" s="455">
        <v>157246650</v>
      </c>
      <c r="E1441" s="429"/>
      <c r="F1441" s="2993" t="s">
        <v>2217</v>
      </c>
      <c r="G1441" s="335"/>
      <c r="H1441" s="706">
        <v>26.6</v>
      </c>
      <c r="I1441" s="442">
        <v>247036</v>
      </c>
      <c r="J1441" s="432"/>
      <c r="K1441" s="429"/>
    </row>
    <row r="1442" spans="1:11" s="2" customFormat="1" ht="18" customHeight="1" x14ac:dyDescent="0.25">
      <c r="A1442" s="2493" t="s">
        <v>2134</v>
      </c>
      <c r="B1442" s="569"/>
      <c r="C1442" s="671">
        <v>141.19999999999999</v>
      </c>
      <c r="D1442" s="440">
        <v>159215914</v>
      </c>
      <c r="E1442" s="429"/>
      <c r="F1442" s="523" t="s">
        <v>2585</v>
      </c>
      <c r="G1442" s="569"/>
      <c r="H1442" s="671">
        <v>11</v>
      </c>
      <c r="I1442" s="438">
        <v>252613</v>
      </c>
      <c r="J1442" s="432"/>
      <c r="K1442" s="429"/>
    </row>
    <row r="1443" spans="1:11" s="2" customFormat="1" ht="18" customHeight="1" x14ac:dyDescent="0.25">
      <c r="A1443" s="2989" t="s">
        <v>2217</v>
      </c>
      <c r="B1443" s="335"/>
      <c r="C1443" s="702">
        <v>353</v>
      </c>
      <c r="D1443" s="439">
        <v>159957791</v>
      </c>
      <c r="E1443" s="429"/>
      <c r="F1443" s="1465" t="s">
        <v>1759</v>
      </c>
      <c r="G1443" s="2046"/>
      <c r="H1443" s="702">
        <v>7</v>
      </c>
      <c r="I1443" s="455">
        <v>280593</v>
      </c>
      <c r="J1443" s="432"/>
      <c r="K1443" s="429"/>
    </row>
    <row r="1444" spans="1:11" s="2" customFormat="1" ht="18" customHeight="1" x14ac:dyDescent="0.25">
      <c r="A1444" s="495" t="s">
        <v>575</v>
      </c>
      <c r="B1444" s="569"/>
      <c r="C1444" s="704">
        <v>293.26</v>
      </c>
      <c r="D1444" s="440">
        <v>160123152</v>
      </c>
      <c r="E1444" s="429"/>
      <c r="F1444" s="2496" t="s">
        <v>2152</v>
      </c>
      <c r="G1444" s="601" t="s">
        <v>40</v>
      </c>
      <c r="H1444" s="702">
        <v>5</v>
      </c>
      <c r="I1444" s="439">
        <v>282403</v>
      </c>
      <c r="J1444" s="432"/>
      <c r="K1444" s="429"/>
    </row>
    <row r="1445" spans="1:11" s="2" customFormat="1" ht="18" customHeight="1" x14ac:dyDescent="0.25">
      <c r="A1445" s="495" t="s">
        <v>1756</v>
      </c>
      <c r="B1445" s="335" t="s">
        <v>40</v>
      </c>
      <c r="C1445" s="704">
        <v>194.86</v>
      </c>
      <c r="D1445" s="438">
        <v>160361751</v>
      </c>
      <c r="E1445" s="429"/>
      <c r="F1445" s="495" t="s">
        <v>1758</v>
      </c>
      <c r="G1445" s="335"/>
      <c r="H1445" s="671">
        <v>19</v>
      </c>
      <c r="I1445" s="438">
        <v>282886</v>
      </c>
      <c r="J1445" s="432"/>
      <c r="K1445" s="429"/>
    </row>
    <row r="1446" spans="1:11" s="2" customFormat="1" ht="18" customHeight="1" x14ac:dyDescent="0.25">
      <c r="A1446" s="511" t="s">
        <v>1711</v>
      </c>
      <c r="B1446" s="335" t="s">
        <v>40</v>
      </c>
      <c r="C1446" s="657">
        <v>72.436000000000007</v>
      </c>
      <c r="D1446" s="457">
        <v>162174119</v>
      </c>
      <c r="E1446" s="427"/>
      <c r="F1446" s="1490" t="s">
        <v>2496</v>
      </c>
      <c r="G1446" s="566"/>
      <c r="H1446" s="1643">
        <v>8</v>
      </c>
      <c r="I1446" s="457">
        <v>289123</v>
      </c>
      <c r="J1446" s="432"/>
      <c r="K1446" s="429"/>
    </row>
    <row r="1447" spans="1:11" s="2" customFormat="1" ht="18" customHeight="1" x14ac:dyDescent="0.25">
      <c r="A1447" s="1646" t="s">
        <v>504</v>
      </c>
      <c r="B1447" s="2043" t="s">
        <v>40</v>
      </c>
      <c r="C1447" s="727">
        <v>0</v>
      </c>
      <c r="D1447" s="1792">
        <v>165603777</v>
      </c>
      <c r="E1447" s="427"/>
      <c r="F1447" s="2978" t="s">
        <v>2134</v>
      </c>
      <c r="G1447" s="569"/>
      <c r="H1447" s="704">
        <v>10</v>
      </c>
      <c r="I1447" s="440">
        <v>298250</v>
      </c>
      <c r="J1447" s="432"/>
      <c r="K1447" s="429"/>
    </row>
    <row r="1448" spans="1:11" s="2" customFormat="1" ht="18" customHeight="1" x14ac:dyDescent="0.25">
      <c r="A1448" s="2097" t="s">
        <v>748</v>
      </c>
      <c r="B1448" s="335" t="s">
        <v>40</v>
      </c>
      <c r="C1448" s="2099">
        <v>2439.7199999999998</v>
      </c>
      <c r="D1448" s="1792">
        <v>165651013</v>
      </c>
      <c r="E1448" s="427"/>
      <c r="F1448" s="493" t="s">
        <v>1767</v>
      </c>
      <c r="G1448" s="615"/>
      <c r="H1448" s="671">
        <v>4</v>
      </c>
      <c r="I1448" s="440">
        <v>331100</v>
      </c>
      <c r="J1448" s="432"/>
      <c r="K1448" s="429"/>
    </row>
    <row r="1449" spans="1:11" s="2" customFormat="1" ht="18" customHeight="1" x14ac:dyDescent="0.25">
      <c r="A1449" s="4659" t="s">
        <v>2495</v>
      </c>
      <c r="B1449" s="335" t="s">
        <v>40</v>
      </c>
      <c r="C1449" s="709">
        <v>3773.39</v>
      </c>
      <c r="D1449" s="476">
        <v>165690010</v>
      </c>
      <c r="E1449" s="429"/>
      <c r="F1449" s="1458" t="s">
        <v>1102</v>
      </c>
      <c r="G1449" s="569" t="s">
        <v>40</v>
      </c>
      <c r="H1449" s="671">
        <v>2</v>
      </c>
      <c r="I1449" s="470">
        <v>410651</v>
      </c>
      <c r="J1449" s="432"/>
      <c r="K1449" s="429"/>
    </row>
    <row r="1450" spans="1:11" s="2" customFormat="1" ht="18" customHeight="1" x14ac:dyDescent="0.25">
      <c r="A1450" s="2496" t="s">
        <v>2626</v>
      </c>
      <c r="B1450" s="335"/>
      <c r="C1450" s="735">
        <v>26.803999999999998</v>
      </c>
      <c r="D1450" s="442">
        <v>168847203</v>
      </c>
      <c r="E1450" s="429"/>
      <c r="F1450" s="497" t="s">
        <v>1756</v>
      </c>
      <c r="G1450" s="601" t="s">
        <v>40</v>
      </c>
      <c r="H1450" s="671">
        <v>24.4</v>
      </c>
      <c r="I1450" s="440">
        <v>413983</v>
      </c>
      <c r="J1450" s="432"/>
      <c r="K1450" s="429"/>
    </row>
    <row r="1451" spans="1:11" s="2" customFormat="1" ht="18" customHeight="1" x14ac:dyDescent="0.25">
      <c r="A1451" s="511" t="s">
        <v>2026</v>
      </c>
      <c r="B1451" s="569"/>
      <c r="C1451" s="704">
        <v>276.5</v>
      </c>
      <c r="D1451" s="438">
        <v>169130993</v>
      </c>
      <c r="E1451" s="429"/>
      <c r="F1451" s="497" t="s">
        <v>2135</v>
      </c>
      <c r="G1451" s="601" t="s">
        <v>40</v>
      </c>
      <c r="H1451" s="1392">
        <v>41.6</v>
      </c>
      <c r="I1451" s="464">
        <v>445798</v>
      </c>
      <c r="J1451" s="432"/>
      <c r="K1451" s="429"/>
    </row>
    <row r="1452" spans="1:11" s="2" customFormat="1" ht="18" customHeight="1" x14ac:dyDescent="0.25">
      <c r="A1452" s="495" t="s">
        <v>1759</v>
      </c>
      <c r="B1452" s="572"/>
      <c r="C1452" s="671">
        <v>246</v>
      </c>
      <c r="D1452" s="438">
        <v>171147620</v>
      </c>
      <c r="E1452" s="429"/>
      <c r="F1452" s="511" t="s">
        <v>1711</v>
      </c>
      <c r="G1452" s="335" t="s">
        <v>40</v>
      </c>
      <c r="H1452" s="1392">
        <v>1.17</v>
      </c>
      <c r="I1452" s="457">
        <v>497879</v>
      </c>
      <c r="J1452" s="432"/>
      <c r="K1452" s="429"/>
    </row>
    <row r="1453" spans="1:11" s="2" customFormat="1" ht="18" customHeight="1" x14ac:dyDescent="0.25">
      <c r="A1453" s="1760" t="s">
        <v>1826</v>
      </c>
      <c r="B1453" s="585" t="s">
        <v>40</v>
      </c>
      <c r="C1453" s="1392">
        <v>228.53</v>
      </c>
      <c r="D1453" s="457">
        <v>175379119</v>
      </c>
      <c r="E1453" s="429"/>
      <c r="F1453" s="551" t="s">
        <v>486</v>
      </c>
      <c r="G1453" s="335"/>
      <c r="H1453" s="704">
        <v>11.9</v>
      </c>
      <c r="I1453" s="440">
        <v>604483</v>
      </c>
      <c r="J1453" s="432"/>
      <c r="K1453" s="429"/>
    </row>
    <row r="1454" spans="1:11" s="2" customFormat="1" ht="18" customHeight="1" x14ac:dyDescent="0.25">
      <c r="A1454" s="1646" t="s">
        <v>1793</v>
      </c>
      <c r="B1454" s="1398"/>
      <c r="C1454" s="1392">
        <v>307.89100000000002</v>
      </c>
      <c r="D1454" s="457">
        <v>178957506</v>
      </c>
      <c r="E1454" s="429"/>
      <c r="F1454" s="523" t="s">
        <v>2624</v>
      </c>
      <c r="G1454" s="579" t="s">
        <v>40</v>
      </c>
      <c r="H1454" s="704">
        <v>9.4</v>
      </c>
      <c r="I1454" s="438">
        <v>644804</v>
      </c>
      <c r="J1454" s="432"/>
      <c r="K1454" s="429"/>
    </row>
    <row r="1455" spans="1:11" s="2" customFormat="1" ht="18" customHeight="1" x14ac:dyDescent="0.25">
      <c r="A1455" s="493" t="s">
        <v>1594</v>
      </c>
      <c r="B1455" s="592" t="s">
        <v>40</v>
      </c>
      <c r="C1455" s="738">
        <v>52</v>
      </c>
      <c r="D1455" s="239">
        <v>181264084</v>
      </c>
      <c r="E1455" s="429"/>
      <c r="F1455" s="498" t="s">
        <v>958</v>
      </c>
      <c r="G1455" s="569"/>
      <c r="H1455" s="708">
        <v>3.29</v>
      </c>
      <c r="I1455" s="455">
        <v>793350</v>
      </c>
      <c r="J1455" s="432"/>
      <c r="K1455" s="429"/>
    </row>
    <row r="1456" spans="1:11" s="2" customFormat="1" ht="18" customHeight="1" x14ac:dyDescent="0.25">
      <c r="A1456" s="499" t="s">
        <v>578</v>
      </c>
      <c r="B1456" s="579" t="s">
        <v>40</v>
      </c>
      <c r="C1456" s="702">
        <v>133.56</v>
      </c>
      <c r="D1456" s="455">
        <v>182647362</v>
      </c>
      <c r="E1456" s="429"/>
      <c r="F1456" s="2975" t="s">
        <v>2626</v>
      </c>
      <c r="G1456" s="335"/>
      <c r="H1456" s="3021">
        <v>0.72899999999999998</v>
      </c>
      <c r="I1456" s="1792">
        <v>836382</v>
      </c>
      <c r="J1456" s="432"/>
      <c r="K1456" s="429"/>
    </row>
    <row r="1457" spans="1:11" s="2" customFormat="1" ht="18" customHeight="1" x14ac:dyDescent="0.25">
      <c r="A1457" s="498" t="s">
        <v>958</v>
      </c>
      <c r="B1457" s="579"/>
      <c r="C1457" s="704">
        <v>182.42</v>
      </c>
      <c r="D1457" s="438">
        <v>182873948</v>
      </c>
      <c r="E1457" s="429"/>
      <c r="F1457" s="493" t="s">
        <v>1594</v>
      </c>
      <c r="G1457" s="579" t="s">
        <v>40</v>
      </c>
      <c r="H1457" s="708">
        <v>1.0629999999999999</v>
      </c>
      <c r="I1457" s="439">
        <v>910904</v>
      </c>
      <c r="J1457" s="432"/>
      <c r="K1457" s="429"/>
    </row>
    <row r="1458" spans="1:11" s="2" customFormat="1" ht="18" customHeight="1" x14ac:dyDescent="0.25">
      <c r="A1458" s="1390" t="s">
        <v>1959</v>
      </c>
      <c r="B1458" s="570"/>
      <c r="C1458" s="731">
        <v>23</v>
      </c>
      <c r="D1458" s="1793">
        <v>183955022</v>
      </c>
      <c r="E1458" s="429"/>
      <c r="F1458" s="499" t="s">
        <v>578</v>
      </c>
      <c r="G1458" s="569" t="s">
        <v>40</v>
      </c>
      <c r="H1458" s="708">
        <v>1.48</v>
      </c>
      <c r="I1458" s="439">
        <v>968498</v>
      </c>
      <c r="J1458" s="432"/>
      <c r="K1458" s="429"/>
    </row>
    <row r="1459" spans="1:11" s="2" customFormat="1" ht="18" customHeight="1" x14ac:dyDescent="0.25">
      <c r="A1459" s="500" t="s">
        <v>2625</v>
      </c>
      <c r="B1459" s="569" t="s">
        <v>40</v>
      </c>
      <c r="C1459" s="1645">
        <v>45.27</v>
      </c>
      <c r="D1459" s="440">
        <v>184728447</v>
      </c>
      <c r="E1459" s="429"/>
      <c r="F1459" s="493" t="s">
        <v>1790</v>
      </c>
      <c r="G1459" s="566"/>
      <c r="H1459" s="709">
        <v>8.1769999999999996</v>
      </c>
      <c r="I1459" s="476">
        <v>1025088</v>
      </c>
      <c r="J1459" s="432"/>
      <c r="K1459" s="429"/>
    </row>
    <row r="1460" spans="1:11" s="2" customFormat="1" ht="18" customHeight="1" x14ac:dyDescent="0.25">
      <c r="A1460" s="3007" t="s">
        <v>2624</v>
      </c>
      <c r="B1460" s="569" t="s">
        <v>40</v>
      </c>
      <c r="C1460" s="704">
        <v>109.28</v>
      </c>
      <c r="D1460" s="438">
        <v>186836440</v>
      </c>
      <c r="E1460" s="429"/>
      <c r="F1460" s="497" t="s">
        <v>2625</v>
      </c>
      <c r="G1460" s="569" t="s">
        <v>40</v>
      </c>
      <c r="H1460" s="708">
        <v>4.03</v>
      </c>
      <c r="I1460" s="455">
        <v>1066566</v>
      </c>
      <c r="J1460" s="432"/>
      <c r="K1460" s="429"/>
    </row>
    <row r="1461" spans="1:11" s="2" customFormat="1" ht="18" customHeight="1" x14ac:dyDescent="0.25">
      <c r="A1461" s="493" t="s">
        <v>921</v>
      </c>
      <c r="B1461" s="569"/>
      <c r="C1461" s="671">
        <v>65</v>
      </c>
      <c r="D1461" s="440">
        <v>190665038</v>
      </c>
      <c r="E1461" s="429"/>
      <c r="F1461" s="510" t="s">
        <v>1959</v>
      </c>
      <c r="G1461" s="620"/>
      <c r="H1461" s="708">
        <v>5</v>
      </c>
      <c r="I1461" s="439">
        <v>1179304</v>
      </c>
      <c r="J1461" s="432"/>
      <c r="K1461" s="429"/>
    </row>
    <row r="1462" spans="1:11" s="2" customFormat="1" ht="18" customHeight="1" x14ac:dyDescent="0.25">
      <c r="A1462" s="2498" t="s">
        <v>1100</v>
      </c>
      <c r="B1462" s="569" t="s">
        <v>40</v>
      </c>
      <c r="C1462" s="704">
        <v>52.3</v>
      </c>
      <c r="D1462" s="470">
        <v>190669330</v>
      </c>
      <c r="E1462" s="429"/>
      <c r="F1462" s="2498" t="s">
        <v>1100</v>
      </c>
      <c r="G1462" s="579" t="s">
        <v>40</v>
      </c>
      <c r="H1462" s="708">
        <v>1.6559999999999999</v>
      </c>
      <c r="I1462" s="455">
        <v>1208109</v>
      </c>
      <c r="J1462" s="432"/>
      <c r="K1462" s="429"/>
    </row>
    <row r="1463" spans="1:11" s="2" customFormat="1" ht="18" customHeight="1" x14ac:dyDescent="0.25">
      <c r="A1463" s="528" t="s">
        <v>503</v>
      </c>
      <c r="B1463" s="1477"/>
      <c r="C1463" s="1393"/>
      <c r="D1463" s="1478">
        <v>194118968</v>
      </c>
      <c r="E1463" s="429"/>
      <c r="F1463" s="493" t="s">
        <v>921</v>
      </c>
      <c r="G1463" s="579"/>
      <c r="H1463" s="708">
        <v>2.25</v>
      </c>
      <c r="I1463" s="439">
        <v>1209047</v>
      </c>
      <c r="J1463" s="432"/>
      <c r="K1463" s="429"/>
    </row>
    <row r="1464" spans="1:11" s="2" customFormat="1" ht="18" customHeight="1" x14ac:dyDescent="0.25">
      <c r="A1464" s="525"/>
      <c r="B1464" s="575"/>
      <c r="C1464" s="677"/>
      <c r="D1464" s="177"/>
      <c r="E1464" s="429"/>
      <c r="F1464" s="497" t="s">
        <v>1768</v>
      </c>
      <c r="G1464" s="579"/>
      <c r="H1464" s="710">
        <v>3</v>
      </c>
      <c r="I1464" s="239">
        <v>1316834</v>
      </c>
      <c r="J1464" s="432"/>
      <c r="K1464" s="429"/>
    </row>
    <row r="1465" spans="1:11" s="2" customFormat="1" ht="18" customHeight="1" x14ac:dyDescent="0.25">
      <c r="A1465" s="142"/>
      <c r="B1465" s="448"/>
      <c r="C1465" s="677"/>
      <c r="D1465" s="177"/>
      <c r="E1465" s="429"/>
      <c r="F1465" s="1470" t="s">
        <v>503</v>
      </c>
      <c r="G1465" s="1475"/>
      <c r="H1465" s="1393"/>
      <c r="I1465" s="1476">
        <v>10860886</v>
      </c>
      <c r="J1465" s="432"/>
      <c r="K1465" s="429"/>
    </row>
    <row r="1466" spans="1:11" s="2" customFormat="1" ht="18" customHeight="1" x14ac:dyDescent="0.25">
      <c r="A1466" s="748"/>
      <c r="B1466" s="745"/>
      <c r="C1466" s="746"/>
      <c r="D1466" s="747"/>
      <c r="E1466" s="429"/>
      <c r="F1466" s="2066"/>
      <c r="G1466" s="2066"/>
      <c r="H1466" s="2063"/>
      <c r="I1466" s="2098"/>
      <c r="J1466" s="432"/>
      <c r="K1466" s="429"/>
    </row>
    <row r="1467" spans="1:11" s="2" customFormat="1" ht="18" customHeight="1" x14ac:dyDescent="0.25">
      <c r="A1467" s="140" t="s">
        <v>2744</v>
      </c>
      <c r="B1467" s="140"/>
      <c r="C1467" s="700"/>
      <c r="D1467" s="473"/>
      <c r="F1467" s="142"/>
      <c r="G1467" s="142"/>
      <c r="H1467" s="366"/>
      <c r="I1467" s="177"/>
      <c r="J1467" s="432"/>
      <c r="K1467" s="429"/>
    </row>
    <row r="1468" spans="1:11" s="2" customFormat="1" ht="18" customHeight="1" x14ac:dyDescent="0.25">
      <c r="A1468" s="140" t="s">
        <v>2745</v>
      </c>
      <c r="B1468" s="140"/>
      <c r="C1468" s="700"/>
      <c r="D1468" s="473"/>
      <c r="F1468" s="142"/>
      <c r="G1468" s="142"/>
      <c r="H1468" s="366"/>
      <c r="I1468" s="177"/>
      <c r="J1468" s="432"/>
      <c r="K1468" s="429"/>
    </row>
    <row r="1469" spans="1:11" s="2" customFormat="1" ht="18" customHeight="1" x14ac:dyDescent="0.25">
      <c r="A1469" s="142" t="s">
        <v>2746</v>
      </c>
      <c r="B1469" s="142"/>
      <c r="C1469" s="700"/>
      <c r="D1469" s="473"/>
      <c r="F1469" s="142"/>
      <c r="G1469" s="142"/>
      <c r="H1469" s="366"/>
      <c r="I1469" s="177"/>
      <c r="J1469" s="426"/>
    </row>
  </sheetData>
  <sortState ref="F1328:I1332">
    <sortCondition ref="I1328:I1332"/>
  </sortState>
  <mergeCells count="5">
    <mergeCell ref="A1424:D1424"/>
    <mergeCell ref="F1424:I1424"/>
    <mergeCell ref="A1381:D1381"/>
    <mergeCell ref="F1381:I1381"/>
    <mergeCell ref="A2:I4"/>
  </mergeCells>
  <conditionalFormatting sqref="I15:I57">
    <cfRule type="dataBar" priority="155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{98A49E41-F7C8-4605-8AB8-EAEC4DF426A3}</x14:id>
        </ext>
      </extLst>
    </cfRule>
  </conditionalFormatting>
  <conditionalFormatting sqref="D125:D173">
    <cfRule type="dataBar" priority="152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{CEACBB10-1123-4161-B307-753EAB2C710D}</x14:id>
        </ext>
      </extLst>
    </cfRule>
  </conditionalFormatting>
  <conditionalFormatting sqref="D990:D1036">
    <cfRule type="dataBar" priority="136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{28CBBE0D-ED94-4953-8B59-D3C97BDE475B}</x14:id>
        </ext>
      </extLst>
    </cfRule>
  </conditionalFormatting>
  <conditionalFormatting sqref="D1383:D1420">
    <cfRule type="dataBar" priority="124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{50B6C3FF-989A-4914-A1C7-C71D152EBC5B}</x14:id>
        </ext>
      </extLst>
    </cfRule>
  </conditionalFormatting>
  <conditionalFormatting sqref="I1383:I1420">
    <cfRule type="dataBar" priority="123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{E34A3D1E-AC62-487C-98EF-451FF709B108}</x14:id>
        </ext>
      </extLst>
    </cfRule>
  </conditionalFormatting>
  <conditionalFormatting sqref="D1426:D1463">
    <cfRule type="dataBar" priority="122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{D5F18858-F360-465C-949D-F5CF8C81A47B}</x14:id>
        </ext>
      </extLst>
    </cfRule>
  </conditionalFormatting>
  <conditionalFormatting sqref="I70:I116">
    <cfRule type="dataBar" priority="98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{F844A213-D8F5-4A06-94C3-C55F76838E36}</x14:id>
        </ext>
      </extLst>
    </cfRule>
  </conditionalFormatting>
  <conditionalFormatting sqref="I935:I981">
    <cfRule type="dataBar" priority="96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{099C8B7F-D92E-4FE4-91A6-512BD35978D3}</x14:id>
        </ext>
      </extLst>
    </cfRule>
  </conditionalFormatting>
  <conditionalFormatting sqref="I1165:I1208">
    <cfRule type="dataBar" priority="82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{DFEB8DF9-CB81-46A9-ABC4-F162439E6F1A}</x14:id>
        </ext>
      </extLst>
    </cfRule>
  </conditionalFormatting>
  <conditionalFormatting sqref="I1214:I1258">
    <cfRule type="dataBar" priority="81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{12D82EB4-E5DA-497B-9D30-12A3F6E095B9}</x14:id>
        </ext>
      </extLst>
    </cfRule>
  </conditionalFormatting>
  <conditionalFormatting sqref="I1276:I1314">
    <cfRule type="dataBar" priority="78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{D50710A3-C096-4799-8B28-DA63A305B1F0}</x14:id>
        </ext>
      </extLst>
    </cfRule>
  </conditionalFormatting>
  <conditionalFormatting sqref="D1327:D1368">
    <cfRule type="dataBar" priority="77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{62711506-4121-46E0-8AFF-87762AF425D6}</x14:id>
        </ext>
      </extLst>
    </cfRule>
  </conditionalFormatting>
  <conditionalFormatting sqref="I1327:I1371">
    <cfRule type="dataBar" priority="76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{4884B3F3-B759-41D8-8C6B-A71C56A0BE27}</x14:id>
        </ext>
      </extLst>
    </cfRule>
  </conditionalFormatting>
  <conditionalFormatting sqref="I819:I865">
    <cfRule type="dataBar" priority="74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{660A9250-3F97-4AFF-A0C2-C4C8BF5D200C}</x14:id>
        </ext>
      </extLst>
    </cfRule>
  </conditionalFormatting>
  <conditionalFormatting sqref="D753:D794">
    <cfRule type="dataBar" priority="63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{A48E0815-DD95-4E7E-BCD7-6A14175B08BA}</x14:id>
        </ext>
      </extLst>
    </cfRule>
  </conditionalFormatting>
  <conditionalFormatting sqref="I688:I748">
    <cfRule type="dataBar" priority="62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{5C0AF4BF-FF25-455B-B50C-6B733F743EAD}</x14:id>
        </ext>
      </extLst>
    </cfRule>
  </conditionalFormatting>
  <conditionalFormatting sqref="D70:D117">
    <cfRule type="dataBar" priority="46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{E17650A1-71A2-48D3-B1A6-CE066E71E65A}</x14:id>
        </ext>
      </extLst>
    </cfRule>
  </conditionalFormatting>
  <conditionalFormatting sqref="D688:D736">
    <cfRule type="dataBar" priority="43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{D86AFF1E-A78A-4A13-801E-DE9719960DD8}</x14:id>
        </ext>
      </extLst>
    </cfRule>
  </conditionalFormatting>
  <conditionalFormatting sqref="A819:D820 A832:D833 A865:D866 C864:D864 A847:D859 B846:D846 A861:D863 B860:D860 A836:D845 B834:D835 C824:D831 A823:D823 C821:D822">
    <cfRule type="dataBar" priority="42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{280C425F-11D1-4D9A-85BF-04C61596E517}</x14:id>
        </ext>
      </extLst>
    </cfRule>
  </conditionalFormatting>
  <conditionalFormatting sqref="D880:D921">
    <cfRule type="dataBar" priority="41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{BB52B88E-3E08-4136-B9B8-28241E9189CA}</x14:id>
        </ext>
      </extLst>
    </cfRule>
  </conditionalFormatting>
  <conditionalFormatting sqref="D936:D982">
    <cfRule type="dataBar" priority="40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{8F7866CE-AAD1-474B-B2E4-08ACA8CE2C5A}</x14:id>
        </ext>
      </extLst>
    </cfRule>
  </conditionalFormatting>
  <conditionalFormatting sqref="D1276:D1314">
    <cfRule type="dataBar" priority="38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{D20BDB05-96C9-4CD9-89E9-AE5BA81EF8A8}</x14:id>
        </ext>
      </extLst>
    </cfRule>
  </conditionalFormatting>
  <conditionalFormatting sqref="D1214:D1263">
    <cfRule type="dataBar" priority="37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{F992C193-CAB2-4FA5-88C4-1E35167F0C35}</x14:id>
        </ext>
      </extLst>
    </cfRule>
  </conditionalFormatting>
  <conditionalFormatting sqref="I880:I927">
    <cfRule type="dataBar" priority="36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{9EB8F3B2-6F6A-40A8-A0CC-A7AA7065CFE7}</x14:id>
        </ext>
      </extLst>
    </cfRule>
  </conditionalFormatting>
  <conditionalFormatting sqref="D611">
    <cfRule type="dataBar" priority="35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{AD7707EC-059C-4261-BEDE-C125C7599B86}</x14:id>
        </ext>
      </extLst>
    </cfRule>
  </conditionalFormatting>
  <conditionalFormatting sqref="D15:D60">
    <cfRule type="dataBar" priority="33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{0B4B95D4-5165-4E7A-A93F-AE4AFB7880EC}</x14:id>
        </ext>
      </extLst>
    </cfRule>
  </conditionalFormatting>
  <conditionalFormatting sqref="D551:D605">
    <cfRule type="dataBar" priority="29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{F73D7B61-1D95-45A2-B677-A68244B7F43A}</x14:id>
        </ext>
      </extLst>
    </cfRule>
  </conditionalFormatting>
  <conditionalFormatting sqref="I551:I604">
    <cfRule type="dataBar" priority="23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{7066154E-DABD-46D8-8FE4-9325E2059F93}</x14:id>
        </ext>
      </extLst>
    </cfRule>
  </conditionalFormatting>
  <conditionalFormatting sqref="D305:D359">
    <cfRule type="dataBar" priority="20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{EBDF8E32-D989-4649-A5ED-3D64CF8DEF35}</x14:id>
        </ext>
      </extLst>
    </cfRule>
  </conditionalFormatting>
  <conditionalFormatting sqref="I305:I357">
    <cfRule type="dataBar" priority="19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{5307E7AE-1D59-4AAE-B38D-E5582A345194}</x14:id>
        </ext>
      </extLst>
    </cfRule>
  </conditionalFormatting>
  <conditionalFormatting sqref="D1165:D1209">
    <cfRule type="dataBar" priority="18193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{AA7E4C83-ED9F-4ADC-8220-62EF32983167}</x14:id>
        </ext>
      </extLst>
    </cfRule>
  </conditionalFormatting>
  <conditionalFormatting sqref="D301:D302 D244:D246">
    <cfRule type="dataBar" priority="18759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{9FCC7F10-FF16-4024-972B-B4C0E5E66CCE}</x14:id>
        </ext>
      </extLst>
    </cfRule>
  </conditionalFormatting>
  <conditionalFormatting sqref="D488:D541">
    <cfRule type="dataBar" priority="9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{754D106F-2941-458B-B6E7-2C4857460AF7}</x14:id>
        </ext>
      </extLst>
    </cfRule>
  </conditionalFormatting>
  <conditionalFormatting sqref="I427:I476">
    <cfRule type="dataBar" priority="18825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{3AA3A282-CAE1-419B-8B2A-7103F13A068E}</x14:id>
        </ext>
      </extLst>
    </cfRule>
  </conditionalFormatting>
  <conditionalFormatting sqref="I488:I541">
    <cfRule type="dataBar" priority="7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{4A735144-0F81-4204-93AF-9B35C95C937A}</x14:id>
        </ext>
      </extLst>
    </cfRule>
  </conditionalFormatting>
  <conditionalFormatting sqref="I369:I409">
    <cfRule type="dataBar" priority="18866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{BB8323DB-BD42-40D9-B00F-7810EDB96188}</x14:id>
        </ext>
      </extLst>
    </cfRule>
  </conditionalFormatting>
  <conditionalFormatting sqref="I239">
    <cfRule type="dataBar" priority="5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{0C62AFEF-DD31-4D5D-9488-F5AB1697DBC2}</x14:id>
        </ext>
      </extLst>
    </cfRule>
  </conditionalFormatting>
  <conditionalFormatting sqref="D427:D479">
    <cfRule type="dataBar" priority="4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{DF305333-DB20-454A-B283-22DF849858C1}</x14:id>
        </ext>
      </extLst>
    </cfRule>
  </conditionalFormatting>
  <conditionalFormatting sqref="D369:D418">
    <cfRule type="dataBar" priority="3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{B57F7BDC-DED1-42CE-BDE6-832B9F1394E6}</x14:id>
        </ext>
      </extLst>
    </cfRule>
  </conditionalFormatting>
  <conditionalFormatting sqref="I248:I295">
    <cfRule type="dataBar" priority="18878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{37D38B4C-96B0-4C55-BA6E-928285BD46AC}</x14:id>
        </ext>
      </extLst>
    </cfRule>
  </conditionalFormatting>
  <conditionalFormatting sqref="D248:D295">
    <cfRule type="dataBar" priority="18880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{757F7BEA-33BA-4487-A048-BFAE03CAC64B}</x14:id>
        </ext>
      </extLst>
    </cfRule>
  </conditionalFormatting>
  <conditionalFormatting sqref="D187:D239">
    <cfRule type="dataBar" priority="2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{9F5712E8-BC0C-4D14-9B0A-4F05E55E3CE0}</x14:id>
        </ext>
      </extLst>
    </cfRule>
  </conditionalFormatting>
  <conditionalFormatting sqref="I186:I238">
    <cfRule type="dataBar" priority="1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{EAD84F6A-A415-4800-88C0-CC7774DCFF0C}</x14:id>
        </ext>
      </extLst>
    </cfRule>
  </conditionalFormatting>
  <conditionalFormatting sqref="I1428:I1466">
    <cfRule type="dataBar" priority="20301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{62D6BDDE-662A-436C-8811-C6DDD35349E2}</x14:id>
        </ext>
      </extLst>
    </cfRule>
  </conditionalFormatting>
  <conditionalFormatting sqref="I1051:I1099">
    <cfRule type="dataBar" priority="20394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{C2B7E410-EDAC-430A-8732-77D2F4055711}</x14:id>
        </ext>
      </extLst>
    </cfRule>
  </conditionalFormatting>
  <conditionalFormatting sqref="D1051:D1098">
    <cfRule type="dataBar" priority="20396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{94C4A3A0-1C14-4774-A093-8103E08F2900}</x14:id>
        </ext>
      </extLst>
    </cfRule>
  </conditionalFormatting>
  <conditionalFormatting sqref="D1105:D1153">
    <cfRule type="dataBar" priority="20397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{8E135128-4A21-42A0-AEB8-ADE51071B693}</x14:id>
        </ext>
      </extLst>
    </cfRule>
  </conditionalFormatting>
  <conditionalFormatting sqref="I615:I669">
    <cfRule type="dataBar" priority="20410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{ECCFA121-AE7D-4CCF-971E-0218A0AE20AC}</x14:id>
        </ext>
      </extLst>
    </cfRule>
  </conditionalFormatting>
  <conditionalFormatting sqref="D615:D669">
    <cfRule type="dataBar" priority="20412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{983B97C6-CD89-44BC-98CF-53BC085C38E7}</x14:id>
        </ext>
      </extLst>
    </cfRule>
  </conditionalFormatting>
  <hyperlinks>
    <hyperlink ref="F1058" r:id="rId1"/>
    <hyperlink ref="A1216" r:id="rId2"/>
    <hyperlink ref="A1217" r:id="rId3"/>
    <hyperlink ref="A1215" r:id="rId4"/>
    <hyperlink ref="A1123" r:id="rId5"/>
    <hyperlink ref="A1151" r:id="rId6"/>
    <hyperlink ref="A1152" r:id="rId7"/>
    <hyperlink ref="A1154" r:id="rId8"/>
    <hyperlink ref="A1120" r:id="rId9"/>
    <hyperlink ref="A802" r:id="rId10" display="CSC 3.2 -m3 -d512 (18.08.2011) Siyuan Fu"/>
    <hyperlink ref="A1015" r:id="rId11" display="CSC 3.2 -m3 -d512 (18.08.2011) Siyuan Fu"/>
    <hyperlink ref="A1130" r:id="rId12" display="CSC 3.2 -m3 -d512 (18.08.2011) Siyuan Fu"/>
    <hyperlink ref="A799" r:id="rId13" display="WinRar x64 v3.92 (4096 KB dictionary + Delta) Eugene Roshal"/>
    <hyperlink ref="A1008" r:id="rId14" display="WinRar x64 v3.92 (4096 KB dictionary + Delta) Eugene Roshal"/>
    <hyperlink ref="A1146" r:id="rId15" display="WinRar x64 v3.92 (4096 KB dictionary + Delta) Eugene Roshal"/>
    <hyperlink ref="A706" r:id="rId16" display="PAQ 8pxd_v16-skbuild -s8:2 M. Mahoney, K. Orav et al."/>
    <hyperlink ref="A826" r:id="rId17" display="PAQ 8pxd_v16-skbuild -s8:2 M. Mahoney, K. Orav et al."/>
    <hyperlink ref="F947" r:id="rId18" display="PAQ 8pxd_v16-skbuild -s8:2 M. Mahoney, K. Orav et al."/>
    <hyperlink ref="F1064" r:id="rId19" display="PAQ 8pxd_v16-skbuild -s8:2 M. Mahoney, K. Orav et al."/>
    <hyperlink ref="A1178" r:id="rId20" display="PAQ 8pxd_v16-skbuild -s8:2 M. Mahoney, K. Orav et al."/>
    <hyperlink ref="F1175" r:id="rId21" display="PAQ 8pxd_v16-skbuild -s8:2 M. Mahoney, K. Orav et al."/>
    <hyperlink ref="A1228" r:id="rId22" display="PAQ 8pxd_v16-skbuild -s8:2 M. Mahoney, K. Orav et al."/>
    <hyperlink ref="A1282" r:id="rId23" display="PAQ 8pxd_v16-skbuild -s8:2 M. Mahoney, K. Orav et al."/>
    <hyperlink ref="F1285" r:id="rId24" display="PAQ 8pxd_v16-skbuild -s8:2 M. Mahoney, K. Orav et al."/>
    <hyperlink ref="A1338" r:id="rId25" display="PAQ 8pxd_v16-skbuild -s8:2 M. Mahoney, K. Orav et al."/>
    <hyperlink ref="F1333" r:id="rId26" display="PAQ 8pxd_v16-skbuild -s8:2 M. Mahoney, K. Orav et al."/>
    <hyperlink ref="A1115" r:id="rId27" display="PAQ 8pxd_v16-skbuild -s8:2 M. Mahoney, K. Orav et al."/>
    <hyperlink ref="A1000" r:id="rId28" display="PAQ 8pxd_v16-skbuild -s8:2 M. Mahoney, K. Orav et al."/>
    <hyperlink ref="A894" r:id="rId29" display="PAQ 8pxd_v16-skbuild -s8:2 M. Mahoney, K. Orav et al."/>
    <hyperlink ref="A776" r:id="rId30" display="PAQ 8pxd_v16-skbuild -s8:2 M. Mahoney, K. Orav et al."/>
    <hyperlink ref="A774" r:id="rId31"/>
    <hyperlink ref="F948" r:id="rId32"/>
    <hyperlink ref="A1007" r:id="rId33"/>
    <hyperlink ref="A1119" r:id="rId34"/>
    <hyperlink ref="A1174" r:id="rId35"/>
    <hyperlink ref="F1176" r:id="rId36"/>
    <hyperlink ref="A1335" r:id="rId37"/>
    <hyperlink ref="A1386" r:id="rId38"/>
    <hyperlink ref="A769" r:id="rId39"/>
    <hyperlink ref="F820" r:id="rId40"/>
    <hyperlink ref="A888" r:id="rId41"/>
    <hyperlink ref="F935" r:id="rId42"/>
    <hyperlink ref="A991" r:id="rId43"/>
    <hyperlink ref="A1138" r:id="rId44"/>
    <hyperlink ref="A697" r:id="rId45"/>
    <hyperlink ref="A806" r:id="rId46"/>
    <hyperlink ref="A829" r:id="rId47"/>
    <hyperlink ref="A927" r:id="rId48"/>
    <hyperlink ref="A1038" r:id="rId49"/>
    <hyperlink ref="A777" r:id="rId50" display="NanoZip 0.09α -cc -m2g (04.11.2011) Sami Runsas"/>
    <hyperlink ref="F942" r:id="rId51" display="NanoZip 0.09α -cc -m2g (04.11.2011) Sami Runsas"/>
    <hyperlink ref="A1002" r:id="rId52" display="NanoZip 0.09α -cc -m2g (04.11.2011) Sami Runsas"/>
    <hyperlink ref="A1056" r:id="rId53" display="NanoZip 0.09α -cc -m2g (04.11.2011) Sami Runsas"/>
    <hyperlink ref="F1056" r:id="rId54" display="NanoZip 0.09α -cc -m2g (04.11.2011) Sami Runsas"/>
    <hyperlink ref="A1125" r:id="rId55" display="NanoZip 0.09α -cc -m2g (04.11.2011) Sami Runsas"/>
    <hyperlink ref="A1171" r:id="rId56" display="NanoZip 0.09α -cc -m2g (04.11.2011) Sami Runsas"/>
    <hyperlink ref="F1215" r:id="rId57" display="NanoZip 0.09α -cc -m2g (04.11.2011) Sami Runsas"/>
    <hyperlink ref="A1329" r:id="rId58" display="NanoZip 0.09α -cc -m2g (04.11.2011) Sami Runsas"/>
    <hyperlink ref="A795" r:id="rId59"/>
    <hyperlink ref="A1009" r:id="rId60"/>
    <hyperlink ref="A1139" r:id="rId61"/>
    <hyperlink ref="A780" r:id="rId62"/>
    <hyperlink ref="A1018" r:id="rId63"/>
    <hyperlink ref="A1131" r:id="rId64"/>
    <hyperlink ref="A801" r:id="rId65" display="7-Zip x64 9.1.7 (0=delta:4 1=lzma:lp1:d96:fb273) Igor Pavlov"/>
    <hyperlink ref="A1011" r:id="rId66" display="7-Zip x64 9.1.7 (0=delta:4 1=lzma:lp1:d96:fb273) Igor Pavlov"/>
    <hyperlink ref="A1141" r:id="rId67" display="7-Zip x64 9.1.7 (0=delta:4 1=lzma:lp1:d96:fb273) Igor Pavlov"/>
    <hyperlink ref="A798" r:id="rId68" display="WinZip 16.5.10095 (ZIPX) best method"/>
    <hyperlink ref="A1030" r:id="rId69" display="WinZip 16.5.10095 (ZIPX) best method"/>
    <hyperlink ref="A1140" r:id="rId70" display="WinZip 16.5.10095 (ZIPX) best method"/>
    <hyperlink ref="A793" r:id="rId71" display="WinZip 16.0 - 19.0 legacy Deflate Corel Corp."/>
    <hyperlink ref="A1026" r:id="rId72" display="WinZip 16.0 - 19.0 legacy Deflate Corel Corp."/>
    <hyperlink ref="A1150" r:id="rId73" display="WinZip 16.0 - 19.0 legacy Deflate Corel Corp."/>
    <hyperlink ref="A792" r:id="rId74"/>
    <hyperlink ref="A1021" r:id="rId75"/>
    <hyperlink ref="A1128" r:id="rId76"/>
    <hyperlink ref="F1282" r:id="rId77"/>
    <hyperlink ref="A804" r:id="rId78" display="WinAce v2.69 Final (4096 KB dict + Delta) Marcel Lemke"/>
    <hyperlink ref="A1029" r:id="rId79" display="WinAce v2.69 Final (4096 KB dict + Delta) Marcel Lemke"/>
    <hyperlink ref="A1145" r:id="rId80" display="WinAce v2.69 Final (4096 KB dict + Delta) Marcel Lemke"/>
    <hyperlink ref="A800" r:id="rId81"/>
    <hyperlink ref="A1017" r:id="rId82"/>
    <hyperlink ref="A1133" r:id="rId83"/>
    <hyperlink ref="A782" r:id="rId84" display="DGCA 1.00 - 1.10e (2004-2006) Shin-ichi Tsuruta"/>
    <hyperlink ref="A1033" r:id="rId85" display="DGCA 1.00 - 1.10e (2004-2006) Shin-ichi Tsuruta"/>
    <hyperlink ref="A1132" r:id="rId86" display="DGCA 1.00 - 1.10e (2004-2006) Shin-ichi Tsuruta"/>
    <hyperlink ref="F1385" r:id="rId87" display="DGCA 1.00 - 1.10e (2004-2006) Shin-ichi Tsuruta"/>
    <hyperlink ref="A785" r:id="rId88"/>
    <hyperlink ref="A1028" r:id="rId89"/>
    <hyperlink ref="A1136" r:id="rId90"/>
    <hyperlink ref="A781" r:id="rId91"/>
    <hyperlink ref="A1025" r:id="rId92"/>
    <hyperlink ref="A1134" r:id="rId93"/>
    <hyperlink ref="A803" r:id="rId94"/>
    <hyperlink ref="A1035" r:id="rId95"/>
    <hyperlink ref="A1143" r:id="rId96"/>
    <hyperlink ref="A159" r:id="rId97" display="PAQ 8pxd_v16-skbuild -s8:2 M. Mahoney, K. Orav et al."/>
    <hyperlink ref="A170" r:id="rId98" display="UHARC 0.6b -mm+ -mx 32MB Uwe Herklotz"/>
    <hyperlink ref="A157" r:id="rId99" display="CSC 3.2 -m3 -d512 (18.08.2011) Siyuan Fu"/>
    <hyperlink ref="A167" r:id="rId100" display="7-Zip x64 9.1.7 (0=delta:4 1=lzma:lp1:d96:fb273) Igor Pavlov"/>
    <hyperlink ref="A153" r:id="rId101" display="ZPAQ 6.11 -method 4 2 Matt Mahoney"/>
    <hyperlink ref="A149" r:id="rId102" display="PAQ 8pxd_v16-skbuild -s8:2 M. Mahoney, K. Orav et al."/>
    <hyperlink ref="A140" r:id="rId103" display="NanoZip 0.09α -cc -m2g (04.11.2011) Sami Runsas"/>
    <hyperlink ref="A142" r:id="rId104" display="PAQ 8pxd_v16-skbuild -s8:2 M. Mahoney, K. Orav et al."/>
    <hyperlink ref="A147" r:id="rId105"/>
    <hyperlink ref="A132" r:id="rId106" display="sfArk"/>
    <hyperlink ref="A156" r:id="rId107"/>
    <hyperlink ref="A137" r:id="rId108" display="sfPack 1.0.0.4 (1999) maximum, Megota Software"/>
    <hyperlink ref="A160" r:id="rId109" display="RatHole 3.1.0 (2005) EdgeSounds LLC"/>
    <hyperlink ref="A123" r:id="rId110"/>
    <hyperlink ref="F101" r:id="rId111" display="CSC 3.2 -m3 -d512 (18.08.2011) Siyuan Fu"/>
    <hyperlink ref="F108" r:id="rId112" display="WinRar x64 v3.92 (4096 KB dictionary + Delta) Eugene Roshal"/>
    <hyperlink ref="F84" r:id="rId113" display="PAQ 8pxd_v16-skbuild -s8:2 M. Mahoney, K. Orav et al."/>
    <hyperlink ref="F83" r:id="rId114"/>
    <hyperlink ref="F88" r:id="rId115"/>
    <hyperlink ref="F117" r:id="rId116"/>
    <hyperlink ref="F87" r:id="rId117" display="NanoZip 0.09α -cc -m2g (04.11.2011) Sami Runsas"/>
    <hyperlink ref="F104" r:id="rId118"/>
    <hyperlink ref="F95" r:id="rId119"/>
    <hyperlink ref="F102" r:id="rId120" display="7-Zip x64 9.1.7 (0=delta:4 1=lzma:lp1:d96:fb273) Igor Pavlov"/>
    <hyperlink ref="F105" r:id="rId121" display="WinZip 16.5.10095 (ZIPX) best method"/>
    <hyperlink ref="F100" r:id="rId122"/>
    <hyperlink ref="F112" r:id="rId123" display="WinAce v2.69 Final (4096 KB dict + Delta) Marcel Lemke"/>
    <hyperlink ref="F111" r:id="rId124"/>
    <hyperlink ref="F110" r:id="rId125" display="DGCA 1.00 - 1.10e (2004-2006) Shin-ichi Tsuruta"/>
    <hyperlink ref="F113" r:id="rId126"/>
    <hyperlink ref="F109" r:id="rId127"/>
    <hyperlink ref="F115" r:id="rId128"/>
    <hyperlink ref="A161" r:id="rId129" display="PAQ 8pxd_v16-skbuild -s8:2 M. Mahoney, K. Orav et al."/>
    <hyperlink ref="F119" r:id="rId130" display="AntiZ 0.10a"/>
    <hyperlink ref="F91" r:id="rId131" display="ZPAQ 6.11 -method 4 2 Matt Mahoney"/>
    <hyperlink ref="A48" r:id="rId132"/>
    <hyperlink ref="A45" r:id="rId133" display="CSC 3.2 -m3 -d512 (18.08.2011) Siyuan Fu"/>
    <hyperlink ref="A37" r:id="rId134" display="MCM 0.3 -9 (2013) Matthieu Chartier"/>
    <hyperlink ref="A57" r:id="rId135" display="WinRar x64 v3.92 (4096 KB dictionary + Delta) Eugene Roshal"/>
    <hyperlink ref="A33" r:id="rId136" display="PAQ 8pxd_v16-skbuild -s8:2 M. Mahoney, K. Orav et al."/>
    <hyperlink ref="A31" r:id="rId137"/>
    <hyperlink ref="A27" r:id="rId138"/>
    <hyperlink ref="A25" r:id="rId139"/>
    <hyperlink ref="A29" r:id="rId140" display="NanoZip 0.09α -cc -m2g (04.11.2011) Sami Runsas"/>
    <hyperlink ref="A56" r:id="rId141"/>
    <hyperlink ref="A36" r:id="rId142"/>
    <hyperlink ref="A54" r:id="rId143" display="7-Zip x64 9.1.7 (0=delta:4 1=lzma:lp1:d96:fb273) Igor Pavlov"/>
    <hyperlink ref="A53" r:id="rId144" display="WinZip 16.5.10095 (ZIPX) best method"/>
    <hyperlink ref="A44" r:id="rId145"/>
    <hyperlink ref="A58" r:id="rId146"/>
    <hyperlink ref="A62" r:id="rId147" display="WinAce v2.69 Final (4096 KB dict + Delta) Marcel Lemke"/>
    <hyperlink ref="A64" r:id="rId148"/>
    <hyperlink ref="A38" r:id="rId149" display="DGCA 1.00 - 1.10e (2004-2006) Shin-ichi Tsuruta"/>
    <hyperlink ref="A42" r:id="rId150"/>
    <hyperlink ref="A39" r:id="rId151"/>
    <hyperlink ref="A61" r:id="rId152"/>
    <hyperlink ref="A59" r:id="rId153" display="AntiZ 0.10a"/>
    <hyperlink ref="A35" r:id="rId154" display="ZPAQ 6.11 -method 4 2 Matt Mahoney"/>
    <hyperlink ref="F50" r:id="rId155" display="CSC 3.2 -m3 -d512 (18.08.2011) Siyuan Fu"/>
    <hyperlink ref="F53" r:id="rId156" display="WinRar x64 v3.92 (4096 KB dictionary + Delta) Eugene Roshal"/>
    <hyperlink ref="F35" r:id="rId157" display="PAQ 8pxd_v16-skbuild -s8:2 M. Mahoney, K. Orav et al."/>
    <hyperlink ref="F33" r:id="rId158"/>
    <hyperlink ref="F24" r:id="rId159"/>
    <hyperlink ref="F63" r:id="rId160" display="PreComp 0.4.3 Christian Schneider"/>
    <hyperlink ref="F30" r:id="rId161" display="NanoZip 0.09α -cc -m2g (04.11.2011) Sami Runsas"/>
    <hyperlink ref="F40" r:id="rId162"/>
    <hyperlink ref="F54" r:id="rId163"/>
    <hyperlink ref="F36" r:id="rId164" display="ZPAQ 6.11 -method 4 2 Matt Mahoney"/>
    <hyperlink ref="F44" r:id="rId165" display="7-Zip x64 9.1.7 (0=delta:4 1=lzma:lp1:d96:fb273) Igor Pavlov"/>
    <hyperlink ref="F46" r:id="rId166" display="WinZip 16.5.10095 (ZIPX) best method"/>
    <hyperlink ref="F37" r:id="rId167"/>
    <hyperlink ref="F61" r:id="rId168" display="WinAce v2.69 Final (4096 KB dict + Delta) Marcel Lemke"/>
    <hyperlink ref="F62" r:id="rId169"/>
    <hyperlink ref="F51" r:id="rId170" display="DGCA 1.00 - 1.10e (2004-2006) Shin-ichi Tsuruta"/>
    <hyperlink ref="F52" r:id="rId171"/>
    <hyperlink ref="F48" r:id="rId172"/>
    <hyperlink ref="F60" r:id="rId173"/>
    <hyperlink ref="F58" r:id="rId174" display="AntiZ 0.10a"/>
    <hyperlink ref="A88" r:id="rId175" display="NanoZip 0.09α -cc -m2g (04.11.2011) Sami Runsas"/>
    <hyperlink ref="A87" r:id="rId176"/>
    <hyperlink ref="A81" r:id="rId177"/>
    <hyperlink ref="A120" r:id="rId178"/>
    <hyperlink ref="A84" r:id="rId179" display="PAQ 8pxd_v16-skbuild -s8:2 M. Mahoney, K. Orav et al."/>
    <hyperlink ref="A89" r:id="rId180"/>
    <hyperlink ref="A96" r:id="rId181"/>
    <hyperlink ref="A116" r:id="rId182" display="AntiZ 0.10a"/>
    <hyperlink ref="A114" r:id="rId183" display="NanoZip 0.09α -cc -m2g (04.11.2011) Sami Runsas"/>
    <hyperlink ref="A103" r:id="rId184" display="FP8_v3 -7 (2012) Jan Ondrus"/>
    <hyperlink ref="A112" r:id="rId185" display="PreComp 0.4.3 Christian Schneider"/>
    <hyperlink ref="A104" r:id="rId186" display="PAQ 8pxd_v16-skbuild -s8:2 M. Mahoney, K. Orav et al."/>
    <hyperlink ref="A108" r:id="rId187" display="ZPAQ 6.11 -method 4 2 Matt Mahoney"/>
    <hyperlink ref="A101" r:id="rId188" display="PAQ 8pxd_v16-skbuild -s8:2 M. Mahoney, K. Orav et al."/>
    <hyperlink ref="A100" r:id="rId189"/>
    <hyperlink ref="A93" r:id="rId190" display="MCM 0.3 -9 (2013) Matthieu Chartier"/>
    <hyperlink ref="A113" r:id="rId191" display="ZPAQ 6.11 -method 4 2 Matt Mahoney"/>
    <hyperlink ref="A110" r:id="rId192" display="PAQ 8pxd_v16-skbuild -s8:2 M. Mahoney, K. Orav et al."/>
    <hyperlink ref="A99" r:id="rId193" display="FP8_v3 -7 (2012) Jan Ondrus"/>
    <hyperlink ref="A111" r:id="rId194" display="sfPack 1.0.0.4 (1999) maximum, Megota Software"/>
    <hyperlink ref="A154" r:id="rId195" display="ZPAQ 6.11 -method 4 2 Matt Mahoney"/>
    <hyperlink ref="A708" r:id="rId196"/>
    <hyperlink ref="A710" r:id="rId197" display="NanoZip 0.09α -cc -m2g (04.11.2011) Sami Runsas"/>
    <hyperlink ref="A711" r:id="rId198"/>
    <hyperlink ref="A724" r:id="rId199" display="ZCM 0.92 -m7 -r -s (2014) Francesco Nania"/>
    <hyperlink ref="A732" r:id="rId200" display="WinRar x64 v3.92 (4096 KB dictionary + Delta) Eugene Roshal"/>
    <hyperlink ref="A714" r:id="rId201"/>
    <hyperlink ref="A729" r:id="rId202"/>
    <hyperlink ref="A728" r:id="rId203" display="7-Zip x64 9.1.7 (0=delta:4 1=lzma:lp1:d96:fb273) Igor Pavlov"/>
    <hyperlink ref="A727" r:id="rId204" display="WinZip 16.5.10095 (ZIPX) best method"/>
    <hyperlink ref="A730" r:id="rId205" display="WinZip 16.0 - 19.0 legacy Deflate Corel Corp."/>
    <hyperlink ref="A731" r:id="rId206"/>
    <hyperlink ref="A734" r:id="rId207" display="WinAce v2.69 Final (4096 KB dict + Delta) Marcel Lemke"/>
    <hyperlink ref="A733" r:id="rId208"/>
    <hyperlink ref="A713" r:id="rId209" display="DGCA 1.00 - 1.10e (2004-2006) Shin-ichi Tsuruta"/>
    <hyperlink ref="A722" r:id="rId210"/>
    <hyperlink ref="A718" r:id="rId211"/>
    <hyperlink ref="A735" r:id="rId212"/>
    <hyperlink ref="A833" r:id="rId213"/>
    <hyperlink ref="A838" r:id="rId214"/>
    <hyperlink ref="A836" r:id="rId215" display="NanoZip 0.09α -cc -m2g (04.11.2011) Sami Runsas"/>
    <hyperlink ref="A835" r:id="rId216"/>
    <hyperlink ref="A850" r:id="rId217" display="CSC 3.2 -m3 -d512 (18.08.2011) Siyuan Fu"/>
    <hyperlink ref="A861" r:id="rId218" display="WinRar x64 v3.92 (4096 KB dictionary + Delta) Eugene Roshal"/>
    <hyperlink ref="A853" r:id="rId219"/>
    <hyperlink ref="A849" r:id="rId220" display="7-Zip x64 9.1.7 (0=delta:4 1=lzma:lp1:d96:fb273) Igor Pavlov"/>
    <hyperlink ref="A846" r:id="rId221" display="WinZip 16.5.10095 (ZIPX) best method"/>
    <hyperlink ref="A865" r:id="rId222" display="WinZip 16.0 - 19.0 legacy Deflate Corel Corp."/>
    <hyperlink ref="A844" r:id="rId223"/>
    <hyperlink ref="A863" r:id="rId224" display="WinAce v2.69 Final (4096 KB dict + Delta) Marcel Lemke"/>
    <hyperlink ref="A857" r:id="rId225"/>
    <hyperlink ref="A859" r:id="rId226" display="DGCA 1.00 - 1.10e (2004-2006) Shin-ichi Tsuruta"/>
    <hyperlink ref="A862" r:id="rId227"/>
    <hyperlink ref="A858" r:id="rId228"/>
    <hyperlink ref="A864" r:id="rId229"/>
    <hyperlink ref="F836" r:id="rId230" display="PAQ 8pxd_v16-skbuild -s8:2 M. Mahoney, K. Orav et al."/>
    <hyperlink ref="F838" r:id="rId231"/>
    <hyperlink ref="F837" r:id="rId232" display="NanoZip 0.09α -cc -m2g (04.11.2011) Sami Runsas"/>
    <hyperlink ref="F841" r:id="rId233"/>
    <hyperlink ref="F850" r:id="rId234" display="CSC 3.2 -m3 -d512 (18.08.2011) Siyuan Fu"/>
    <hyperlink ref="F853" r:id="rId235" display="WinRar x64 v3.92 (4096 KB dictionary + Delta) Eugene Roshal"/>
    <hyperlink ref="F867" r:id="rId236"/>
    <hyperlink ref="F852" r:id="rId237"/>
    <hyperlink ref="F846" r:id="rId238"/>
    <hyperlink ref="F847" r:id="rId239" display="7-Zip x64 9.1.7 (0=delta:4 1=lzma:lp1:d96:fb273) Igor Pavlov"/>
    <hyperlink ref="F866" r:id="rId240" display="WinZip 16.5.10095 (ZIPX) best method"/>
    <hyperlink ref="F864" r:id="rId241" display="WinZip 16.0 - 19.0 legacy Deflate Corel Corp."/>
    <hyperlink ref="F855" r:id="rId242" display="WinAce v2.69 Final (4096 KB dict + Delta) Marcel Lemke"/>
    <hyperlink ref="F858" r:id="rId243"/>
    <hyperlink ref="F856" r:id="rId244" display="DGCA 1.00 - 1.10e (2004-2006) Shin-ichi Tsuruta"/>
    <hyperlink ref="F857" r:id="rId245"/>
    <hyperlink ref="F862" r:id="rId246"/>
    <hyperlink ref="F861" r:id="rId247"/>
    <hyperlink ref="A867" r:id="rId248" display="AntiZ 0.10a"/>
    <hyperlink ref="A808" r:id="rId249" display="AntiZ 0.10a"/>
    <hyperlink ref="F868" r:id="rId250" display="AntiZ 0.10a"/>
    <hyperlink ref="A895" r:id="rId251"/>
    <hyperlink ref="A893" r:id="rId252" display="NanoZip 0.09α -cc -m2g (04.11.2011) Sami Runsas"/>
    <hyperlink ref="A913" r:id="rId253" display="CSC 3.2 -m3 -d512 (18.08.2011) Siyuan Fu"/>
    <hyperlink ref="A916" r:id="rId254" display="WinRar x64 v3.92 (4096 KB dictionary + Delta) Eugene Roshal"/>
    <hyperlink ref="A906" r:id="rId255"/>
    <hyperlink ref="A908" r:id="rId256"/>
    <hyperlink ref="A909" r:id="rId257" display="7-Zip x64 9.1.7 (0=delta:4 1=lzma:lp1:d96:fb273) Igor Pavlov"/>
    <hyperlink ref="A922" r:id="rId258" display="WinZip 16.5.10095 (ZIPX) best method"/>
    <hyperlink ref="A911" r:id="rId259" display="WinZip 16.0 - 19.0 legacy Deflate Corel Corp."/>
    <hyperlink ref="A901" r:id="rId260"/>
    <hyperlink ref="A924" r:id="rId261" display="WinAce v2.69 Final (4096 KB dict + Delta) Marcel Lemke"/>
    <hyperlink ref="A918" r:id="rId262"/>
    <hyperlink ref="A912" r:id="rId263" display="DGCA 1.00 - 1.10e (2004-2006) Shin-ichi Tsuruta"/>
    <hyperlink ref="A919" r:id="rId264"/>
    <hyperlink ref="A915" r:id="rId265"/>
    <hyperlink ref="A925" r:id="rId266"/>
    <hyperlink ref="F894" r:id="rId267"/>
    <hyperlink ref="F889" r:id="rId268"/>
    <hyperlink ref="F888" r:id="rId269" display="NanoZip 0.09α -cc -m2g (04.11.2011) Sami Runsas"/>
    <hyperlink ref="F899" r:id="rId270"/>
    <hyperlink ref="F902" r:id="rId271"/>
    <hyperlink ref="F895" r:id="rId272" display="7-Zip x64 9.1.7 (0=delta:4 1=lzma:lp1:d96:fb273) Igor Pavlov"/>
    <hyperlink ref="F905" r:id="rId273" display="PAQ 8pxd_v16-skbuild -s8:2 M. Mahoney, K. Orav et al."/>
    <hyperlink ref="F907" r:id="rId274" display="PAQ 8pxd_v16-skbuild -s8:2 M. Mahoney, K. Orav et al."/>
    <hyperlink ref="F928" r:id="rId275"/>
    <hyperlink ref="F915" r:id="rId276" display="WinZip 16.5.10095 (ZIPX) best method"/>
    <hyperlink ref="F926" r:id="rId277" display="WinZip 16.0 - 19.0 legacy Deflate Corel Corp."/>
    <hyperlink ref="F912" r:id="rId278"/>
    <hyperlink ref="F918" r:id="rId279" display="WinAce v2.69 Final (4096 KB dict + Delta) Marcel Lemke"/>
    <hyperlink ref="F910" r:id="rId280"/>
    <hyperlink ref="F922" r:id="rId281" display="DGCA 1.00 - 1.10e (2004-2006) Shin-ichi Tsuruta"/>
    <hyperlink ref="F919" r:id="rId282"/>
    <hyperlink ref="F920" r:id="rId283"/>
    <hyperlink ref="F925" r:id="rId284"/>
    <hyperlink ref="A928" r:id="rId285" display="AntiZ 0.10a"/>
    <hyperlink ref="F930" r:id="rId286" display="AntiZ 0.10a"/>
    <hyperlink ref="A946" r:id="rId287" display="PAQ 8pxd_v16-skbuild -s8:2 M. Mahoney, K. Orav et al."/>
    <hyperlink ref="A947" r:id="rId288"/>
    <hyperlink ref="A948" r:id="rId289" display="NanoZip 0.09α -cc -m2g (04.11.2011) Sami Runsas"/>
    <hyperlink ref="A952" r:id="rId290"/>
    <hyperlink ref="A964" r:id="rId291" display="CSC 3.2 -m3 -d512 (18.08.2011) Siyuan Fu"/>
    <hyperlink ref="A965" r:id="rId292" display="WinRar x64 v3.92 (4096 KB dictionary + Delta) Eugene Roshal"/>
    <hyperlink ref="A962" r:id="rId293"/>
    <hyperlink ref="A983" r:id="rId294"/>
    <hyperlink ref="A967" r:id="rId295"/>
    <hyperlink ref="A959" r:id="rId296"/>
    <hyperlink ref="A960" r:id="rId297" display="7-Zip x64 9.1.7 (0=delta:4 1=lzma:lp1:d96:fb273) Igor Pavlov"/>
    <hyperlink ref="A979" r:id="rId298" display="WinZip 16.5.10095 (ZIPX) best method"/>
    <hyperlink ref="A975" r:id="rId299" display="WinZip 16.0 - 19.0 legacy Deflate Corel Corp."/>
    <hyperlink ref="A971" r:id="rId300" display="WinAce v2.69 Final (4096 KB dict + Delta) Marcel Lemke"/>
    <hyperlink ref="A972" r:id="rId301"/>
    <hyperlink ref="A974" r:id="rId302" display="DGCA 1.00 - 1.10e (2004-2006) Shin-ichi Tsuruta"/>
    <hyperlink ref="A980" r:id="rId303"/>
    <hyperlink ref="A977" r:id="rId304"/>
    <hyperlink ref="A981" r:id="rId305"/>
    <hyperlink ref="F966" r:id="rId306" display="CSC 3.2 -m3 -d512 (18.08.2011) Siyuan Fu"/>
    <hyperlink ref="F961" r:id="rId307" display="WinRar x64 v3.92 (4096 KB dictionary + Delta) Eugene Roshal"/>
    <hyperlink ref="F958" r:id="rId308"/>
    <hyperlink ref="F970" r:id="rId309"/>
    <hyperlink ref="F957" r:id="rId310" display="7-Zip x64 9.1.7 (0=delta:4 1=lzma:lp1:d96:fb273) Igor Pavlov"/>
    <hyperlink ref="F967" r:id="rId311" display="WinZip 16.5.10095 (ZIPX) best method"/>
    <hyperlink ref="F974" r:id="rId312"/>
    <hyperlink ref="F976" r:id="rId313" display="WinAce v2.69 Final (4096 KB dict + Delta) Marcel Lemke"/>
    <hyperlink ref="F965" r:id="rId314"/>
    <hyperlink ref="F963" r:id="rId315" display="DGCA 1.00 - 1.10e (2004-2006) Shin-ichi Tsuruta"/>
    <hyperlink ref="F968" r:id="rId316"/>
    <hyperlink ref="F969" r:id="rId317"/>
    <hyperlink ref="F982" r:id="rId318"/>
    <hyperlink ref="F977" r:id="rId319" display="WinZip 16.0 - 19.0 legacy Deflate Corel Corp."/>
    <hyperlink ref="F979" r:id="rId320"/>
    <hyperlink ref="A1063" r:id="rId321" display="PAQ 8pxd_v16-skbuild -s8:2 M. Mahoney, K. Orav et al."/>
    <hyperlink ref="A1057" r:id="rId322"/>
    <hyperlink ref="A1062" r:id="rId323" display="WinAce v2.69 Final (4096 KB dict + Delta) Marcel Lemke"/>
    <hyperlink ref="A1068" r:id="rId324"/>
    <hyperlink ref="A1074" r:id="rId325" display="http://sagamusix.de/download/discovery/mod/"/>
    <hyperlink ref="A1076" r:id="rId326" display="MCM 0.3 -9 (2013) Matthieu Chartier"/>
    <hyperlink ref="A1080" r:id="rId327" display="WinRar x64 v3.92 (4096 KB dictionary + Delta) Eugene Roshal"/>
    <hyperlink ref="A1072" r:id="rId328"/>
    <hyperlink ref="A1069" r:id="rId329" display="DGCA 1.00 - 1.10e (2004-2006) Shin-ichi Tsuruta"/>
    <hyperlink ref="A1086" r:id="rId330"/>
    <hyperlink ref="A1099" r:id="rId331"/>
    <hyperlink ref="A1100" r:id="rId332"/>
    <hyperlink ref="A1091" r:id="rId333"/>
    <hyperlink ref="A1088" r:id="rId334"/>
    <hyperlink ref="A1084" r:id="rId335"/>
    <hyperlink ref="A1094" r:id="rId336" display="7-Zip x64 9.1.7 (0=delta:4 1=lzma:lp1:d96:fb273) Igor Pavlov"/>
    <hyperlink ref="A1093" r:id="rId337" display="WinZip 16.5.10095 (ZIPX) best method"/>
    <hyperlink ref="A1096" r:id="rId338" display="WinZip 16.0 - 19.0 legacy Deflate Corel Corp."/>
    <hyperlink ref="A1082" r:id="rId339"/>
    <hyperlink ref="A1085" r:id="rId340"/>
    <hyperlink ref="A1083" r:id="rId341"/>
    <hyperlink ref="A1090" r:id="rId342"/>
    <hyperlink ref="F1068" r:id="rId343"/>
    <hyperlink ref="F1070" r:id="rId344"/>
    <hyperlink ref="F1073" r:id="rId345" display="WinAce v2.69 Final (4096 KB dict + Delta) Marcel Lemke"/>
    <hyperlink ref="F1072" r:id="rId346" display="DGCA 1.00 - 1.10e (2004-2006) Shin-ichi Tsuruta"/>
    <hyperlink ref="F1077" r:id="rId347"/>
    <hyperlink ref="F1075" r:id="rId348" display="MCM 0.3 -9 (2013) Matthieu Chartier"/>
    <hyperlink ref="F1087" r:id="rId349" display="  - converted to OpenMPT 1.20 format"/>
    <hyperlink ref="F1098" r:id="rId350" display="http://sagamusix.de/download/starlit_night/mod/"/>
    <hyperlink ref="F1100" r:id="rId351" display="http://sagamusix.de/download/discovery/mod/"/>
    <hyperlink ref="F1081" r:id="rId352" display="WinRar x64 v3.92 (4096 KB dictionary + Delta) Eugene Roshal"/>
    <hyperlink ref="F1092" r:id="rId353"/>
    <hyperlink ref="F1086" r:id="rId354"/>
    <hyperlink ref="F1083" r:id="rId355"/>
    <hyperlink ref="F1093" r:id="rId356" display="7-Zip x64 9.1.7 (0=delta:4 1=lzma:lp1:d96:fb273) Igor Pavlov"/>
    <hyperlink ref="F1094" r:id="rId357" display="WinZip 16.5.10095 (ZIPX) best method"/>
    <hyperlink ref="F1096" r:id="rId358" display="WinZip 16.0 - 19.0 legacy Deflate Corel Corp."/>
    <hyperlink ref="F1082" r:id="rId359"/>
    <hyperlink ref="F1085" r:id="rId360"/>
    <hyperlink ref="F1084" r:id="rId361"/>
    <hyperlink ref="F1089" r:id="rId362"/>
    <hyperlink ref="F1434" r:id="rId363" display="REFLATE 0c1 (2012) Eugene Shelwien"/>
    <hyperlink ref="F1437" r:id="rId364" display="PreComp 0.4.3 Christian Schneider"/>
    <hyperlink ref="F1436" r:id="rId365" display="LZHAM α7r1 -m4 -d29 -t7 -e -x Rich Geldreich, Jr."/>
    <hyperlink ref="F1439" r:id="rId366" display="7-Zip x64 9.1.7 (0=delta:4 1=lzma:lp1:d96:fb273) Igor Pavlov"/>
    <hyperlink ref="F1444" r:id="rId367" display="WinZip 16.5.10095 (ZIPX) best method"/>
    <hyperlink ref="F1445" r:id="rId368" display="WinRar x64 v3.92 (4096 KB dictionary + Delta) Eugene Roshal"/>
    <hyperlink ref="F1443" r:id="rId369" display="FreeARC 0.67 ultra Bulat Ziganshin "/>
    <hyperlink ref="A1446" r:id="rId370" display="WinRar x64 v3.92 (4096 KB dictionary + Delta) Eugene Roshal"/>
    <hyperlink ref="A1450" r:id="rId371" display="PAQ 8pxd_v16-skbuild -s8:2 M. Mahoney, K. Orav et al."/>
    <hyperlink ref="A1448" r:id="rId372" display="REFLATE 0c1 (2012) Eugene Shelwien"/>
    <hyperlink ref="A1444" r:id="rId373" display="PreComp 0.4.3 Christian Schneider"/>
    <hyperlink ref="A1430" r:id="rId374" display="LZHAM α7r1 -m4 -d29 -t7 -e -x Rich Geldreich, Jr."/>
    <hyperlink ref="A1445" r:id="rId375" display="Durilca 0.4b (2004) -m800 -t1 Dmitry Shkarin"/>
    <hyperlink ref="A1427" r:id="rId376" display="7-Zip x64 9.1.7 (0=delta:4 1=lzma:lp1:d96:fb273) Igor Pavlov"/>
    <hyperlink ref="A1435" r:id="rId377" display="WinZip 16.5.10095 (ZIPX) best method"/>
    <hyperlink ref="A1433" r:id="rId378" display="WinZip 16.0 - 19.0 legacy Deflate Corel Corp."/>
    <hyperlink ref="A1439" r:id="rId379" display="WinRar x64 v3.92 (4096 KB dictionary + Delta) Eugene Roshal"/>
    <hyperlink ref="A1452" r:id="rId380" display="FreeARC 0.67 ultra Bulat Ziganshin "/>
    <hyperlink ref="A1438" r:id="rId381" display="BSC 3.1.0 -b1024rsca -m0 -H28 -M255 I. Grebnov"/>
    <hyperlink ref="A1429" r:id="rId382" display="BSC 3.1.0 -b1024pcae2 Ilya Grebnov"/>
    <hyperlink ref="A1461" r:id="rId383" display="NanoZip 0.09α -cc -m2g (04.11.2011) Sami Runsas"/>
    <hyperlink ref="A1458" r:id="rId384" display="UHARC 0.6b -mm+ -mx 32MB Uwe Herklotz"/>
    <hyperlink ref="A1456" r:id="rId385" display="BSC 3.1.0 -b1024pcae2 Ilya Grebnov"/>
    <hyperlink ref="A1455" r:id="rId386" display="BZIP2 1.0.6 (2011) -9 Julian Seward"/>
    <hyperlink ref="A1462" r:id="rId387" display="MCM 0.3 -9 (2013) Matthieu Chartier"/>
    <hyperlink ref="F1410" r:id="rId388" display="WinRar x64 v3.92 (4096 KB dictionary + Delta) Eugene Roshal"/>
    <hyperlink ref="F1407" r:id="rId389" display="PAQ 8pxd_v16-skbuild -s8:2 M. Mahoney, K. Orav et al."/>
    <hyperlink ref="F1397" r:id="rId390" display="REFLATE 0c1 (2012) Eugene Shelwien"/>
    <hyperlink ref="F1401" r:id="rId391" display="PreComp 0.4.3 Christian Schneider"/>
    <hyperlink ref="F1391" r:id="rId392" display="LZHAM α7r1 -m4 -d29 -t7 -e -x Rich Geldreich, Jr."/>
    <hyperlink ref="F1398" r:id="rId393" display="Durilca 0.4b (2004) -m800 -t1 Dmitry Shkarin"/>
    <hyperlink ref="F1389" r:id="rId394" display="7-Zip x64 9.1.7 (0=delta:4 1=lzma:lp1:d96:fb273) Igor Pavlov"/>
    <hyperlink ref="F1395" r:id="rId395" display="WinZip 16.5.10095 (ZIPX) best method"/>
    <hyperlink ref="F1399" r:id="rId396" display="WinZip 16.0 - 19.0 legacy Deflate Corel Corp."/>
    <hyperlink ref="F1400" r:id="rId397" display="WinRar x64 v3.92 (4096 KB dictionary + Delta) Eugene Roshal"/>
    <hyperlink ref="F1411" r:id="rId398" display="FreeARC 0.67 ultra Bulat Ziganshin "/>
    <hyperlink ref="F1406" r:id="rId399" display="BSC 3.1.0 -b1024rsca -m0 -H28 -M255 I. Grebnov"/>
    <hyperlink ref="F1412" r:id="rId400" display="PAQ 8pxd_v16-skbuild -s8:2 M. Mahoney, K. Orav et al."/>
    <hyperlink ref="F1419" r:id="rId401"/>
    <hyperlink ref="F1417" r:id="rId402" display="WinZip 16.0 - 19.0 legacy Deflate Corel Corp."/>
    <hyperlink ref="F1413" r:id="rId403" display="BSC 3.1.0 -b1024pcae2 Ilya Grebnov"/>
    <hyperlink ref="F1418" r:id="rId404" display="CSC 3.2 -m3 -d512 (18.08.2011) Siyuan Fu"/>
    <hyperlink ref="A1396" r:id="rId405" display="PreComp 0.4.3 Christian Schneider"/>
    <hyperlink ref="A1391" r:id="rId406" display="LZHAM α7r1 -m4 -d29 -t7 -e -x Rich Geldreich, Jr."/>
    <hyperlink ref="A1398" r:id="rId407" display="Durilca 0.4b (2004) -m800 -t1 Dmitry Shkarin"/>
    <hyperlink ref="A1390" r:id="rId408" display="7-Zip x64 9.1.7 (0=delta:4 1=lzma:lp1:d96:fb273) Igor Pavlov"/>
    <hyperlink ref="A1394" r:id="rId409" display="WinZip 16.5.10095 (ZIPX) best method"/>
    <hyperlink ref="A1397" r:id="rId410" display="WinZip 16.0 - 19.0 legacy Deflate Corel Corp."/>
    <hyperlink ref="A1389" r:id="rId411" display="BSC 3.1.0 -b1024rsca -m0 -H28 -M255 I. Grebnov"/>
    <hyperlink ref="A1400" r:id="rId412" display="BZIP2 1.0.6 (2011) -9 Julian Seward"/>
    <hyperlink ref="A1406" r:id="rId413" display="WinRar x64 v3.92 (4096 KB dictionary + Delta) Eugene Roshal"/>
    <hyperlink ref="A1409" r:id="rId414" display="PAQ 8pxd_v16-skbuild -s8:2 M. Mahoney, K. Orav et al."/>
    <hyperlink ref="A1416" r:id="rId415" display="NanoZip 0.09α -cc -m2g (04.11.2011) Sami Runsas"/>
    <hyperlink ref="A1413" r:id="rId416" display="UHARC 0.6b -mm+ -mx 32MB Uwe Herklotz"/>
    <hyperlink ref="A1407" r:id="rId417" display="WinRar x64 v3.92 (4096 KB dictionary + Delta) Eugene Roshal"/>
    <hyperlink ref="A1418" r:id="rId418" display="FreeARC 0.67 ultra Bulat Ziganshin "/>
    <hyperlink ref="A1415" r:id="rId419" display="DGCA 1.00 - 1.10e (2004-2006) Shin-ichi Tsuruta"/>
    <hyperlink ref="A1403" r:id="rId420" display="BSC 3.1.0 -b1024pcae2 Ilya Grebnov"/>
    <hyperlink ref="A1417" r:id="rId421" display="MCM 0.3 -9 (2013) Matthieu Chartier"/>
    <hyperlink ref="F1339" r:id="rId422"/>
    <hyperlink ref="F1334" r:id="rId423" display="NanoZip 0.09α -cc -m2g (04.11.2011) Sami Runsas"/>
    <hyperlink ref="F1355" r:id="rId424" display="CSC 3.2 -m3 -d512 (18.08.2011) Siyuan Fu"/>
    <hyperlink ref="F1366" r:id="rId425" display="PAQ 8pxd_v16-skbuild -s8:2 M. Mahoney, K. Orav et al."/>
    <hyperlink ref="F1350" r:id="rId426" display="PreComp 0.4.3 Christian Schneider"/>
    <hyperlink ref="F1360" r:id="rId427" display="NanoZip 0.09α -cc -m2g (04.11.2011) Sami Runsas"/>
    <hyperlink ref="F1358" r:id="rId428" display="Durilca 0.4b (2004) -m800 -t1 Dmitry Shkarin"/>
    <hyperlink ref="F1343" r:id="rId429" display="7-Zip x64 9.1.7 (0=delta:4 1=lzma:lp1:d96:fb273) Igor Pavlov"/>
    <hyperlink ref="F1357" r:id="rId430" display="WinZip 16.5.10095 (ZIPX) best method"/>
    <hyperlink ref="F1359" r:id="rId431" display="WinZip 16.0 - 19.0 legacy Deflate Corel Corp."/>
    <hyperlink ref="F1369" r:id="rId432" display="UHARC 0.6b -mm+ -mx 32MB Uwe Herklotz"/>
    <hyperlink ref="F1356" r:id="rId433" display="WinRar x64 v3.92 (4096 KB dictionary + Delta) Eugene Roshal"/>
    <hyperlink ref="F1368" r:id="rId434" display="DGCA 1.00 - 1.10e (2004-2006) Shin-ichi Tsuruta"/>
    <hyperlink ref="F1365" r:id="rId435" display="BSC 3.1.0 -b1024rsca -m0 -H28 -M255 I. Grebnov"/>
    <hyperlink ref="F1352" r:id="rId436" display="BSC 3.1.0 -b1024pcae2 Ilya Grebnov"/>
    <hyperlink ref="F1346" r:id="rId437" display="BZIP2 1.0.6 (2011) -9 Julian Seward"/>
    <hyperlink ref="F1345" r:id="rId438" display="MCM 0.3 -9 (2013) Matthieu Chartier"/>
    <hyperlink ref="F1362" r:id="rId439" display="http://sonimusicae.free.fr/Banques/SoniMusicae-Diato-sf2.zip"/>
    <hyperlink ref="A1342" r:id="rId440"/>
    <hyperlink ref="A1352" r:id="rId441" display="WinRar x64 v3.92 (4096 KB dictionary + Delta) Eugene Roshal"/>
    <hyperlink ref="A1360" r:id="rId442" display="PAQ 8pxd_v16-skbuild -s8:2 M. Mahoney, K. Orav et al."/>
    <hyperlink ref="A1346" r:id="rId443" display="PreComp 0.4.3 Christian Schneider"/>
    <hyperlink ref="A1366" r:id="rId444" display="NanoZip 0.09α -cc -m2g (04.11.2011) Sami Runsas"/>
    <hyperlink ref="A1355" r:id="rId445" display="Durilca 0.4b (2004) -m800 -t1 Dmitry Shkarin"/>
    <hyperlink ref="A1343" r:id="rId446" display="7-Zip x64 9.1.7 (0=delta:4 1=lzma:lp1:d96:fb273) Igor Pavlov"/>
    <hyperlink ref="A1356" r:id="rId447" display="WinZip 16.5.10095 (ZIPX) best method"/>
    <hyperlink ref="A1369" r:id="rId448" display="WinZip 16.0 - 19.0 legacy Deflate Corel Corp."/>
    <hyperlink ref="A1357" r:id="rId449" display="UHARC 0.6b -mm+ -mx 32MB Uwe Herklotz"/>
    <hyperlink ref="A1353" r:id="rId450" display="WinAce v2.69 Final (4096 KB dict + Delta) Marcel Lemke"/>
    <hyperlink ref="A1367" r:id="rId451" display="DGCA 1.00 - 1.10e (2004-2006) Shin-ichi Tsuruta"/>
    <hyperlink ref="A1363" r:id="rId452" display="BSC 3.1.0 -b1024rsca -m0 -H28 -M255 I. Grebnov"/>
    <hyperlink ref="A1347" r:id="rId453" display="BSC 3.1.0 -b1024pcae2 Ilya Grebnov"/>
    <hyperlink ref="A1344" r:id="rId454" display="BZIP2 1.0.6 (2011) -9 Julian Seward"/>
    <hyperlink ref="A1364" r:id="rId455" display="http://sonimusicae.free.fr/Banques/SoniMusicae-Diato-sf2.zip"/>
    <hyperlink ref="F1287" r:id="rId456"/>
    <hyperlink ref="F1286" r:id="rId457" display="LZHAM α7r1 -m4 -d29 -t7 -e -x Rich Geldreich, Jr."/>
    <hyperlink ref="F1292" r:id="rId458" display="BZIP2 1.0.6 (2011) -9 Julian Seward"/>
    <hyperlink ref="F1296" r:id="rId459" display="WinZip 16.0 - 19.0 legacy Deflate Corel Corp."/>
    <hyperlink ref="F1297" r:id="rId460" display="WinZip 16.0 - 19.0 legacy Deflate Corel Corp."/>
    <hyperlink ref="F1301" r:id="rId461" display="MCM 0.3 -9 (2013) Matthieu Chartier"/>
    <hyperlink ref="F1299" r:id="rId462" display="PAQ 8pxd_v16-skbuild -s8:2 M. Mahoney, K. Orav et al."/>
    <hyperlink ref="F1306" r:id="rId463" display="PreComp 0.4.3 Christian Schneider"/>
    <hyperlink ref="F1317" r:id="rId464" display="NanoZip 0.09α -cc -m2g (04.11.2011) Sami Runsas"/>
    <hyperlink ref="F1298" r:id="rId465" display="Durilca 0.4b (2004) -m800 -t1 Dmitry Shkarin"/>
    <hyperlink ref="F1300" r:id="rId466" display="7-Zip x64 9.1.7 (0=delta:4 1=lzma:lp1:d96:fb273) Igor Pavlov"/>
    <hyperlink ref="F1308" r:id="rId467" display="WinZip 16.5.10095 (ZIPX) best method"/>
    <hyperlink ref="F1319" r:id="rId468" display="FreeARC 0.67 ultra Bulat Ziganshin "/>
    <hyperlink ref="F1313" r:id="rId469" display="DGCA 1.00 - 1.10e (2004-2006) Shin-ichi Tsuruta"/>
    <hyperlink ref="F1302" r:id="rId470" display="BSC 3.1.0 -b1024rsca -m0 -H28 -M255 I. Grebnov"/>
    <hyperlink ref="F1303" r:id="rId471" display="BZIP2 1.0.6 (2011) -9 Julian Seward"/>
    <hyperlink ref="F1315" r:id="rId472" display="MCM 0.3 -9 (2013) Matthieu Chartier"/>
    <hyperlink ref="A1286" r:id="rId473"/>
    <hyperlink ref="A1287" r:id="rId474" display="LZHAM α7r1 -m4 -d29 -t7 -e -x Rich Geldreich, Jr."/>
    <hyperlink ref="A1301" r:id="rId475"/>
    <hyperlink ref="A1298" r:id="rId476" display="Durilca 0.4b (2004) -m800 -t1 Dmitry Shkarin"/>
    <hyperlink ref="A1292" r:id="rId477" display="7-Zip x64 9.1.7 (0=delta:4 1=lzma:lp1:d96:fb273) Igor Pavlov"/>
    <hyperlink ref="A1294" r:id="rId478" display="WinRar x64 v3.92 (4096 KB dictionary + Delta) Eugene Roshal"/>
    <hyperlink ref="A1299" r:id="rId479" display="BSC 3.1.0 -b1024rsca -m0 -H28 -M255 I. Grebnov"/>
    <hyperlink ref="A1297" r:id="rId480" display="BSC 3.1.0 -b1024pcae2 Ilya Grebnov"/>
    <hyperlink ref="A1291" r:id="rId481" display="BZIP2 1.0.6 (2011) -9 Julian Seward"/>
    <hyperlink ref="A1317" r:id="rId482" display="ZCM 0.92 -m7 -r -s (2014) Francesco Nania"/>
    <hyperlink ref="A1304" r:id="rId483" display="PAQ 8pxd_v16-skbuild -s8:2 M. Mahoney, K. Orav et al."/>
    <hyperlink ref="A1312" r:id="rId484" display="NanoZip 0.09α -cc -m2g (04.11.2011) Sami Runsas"/>
    <hyperlink ref="A1309" r:id="rId485" display="WinZip 16.5.10095 (ZIPX) best method"/>
    <hyperlink ref="A1315" r:id="rId486" display="WinZip 16.0 - 19.0 legacy Deflate Corel Corp."/>
    <hyperlink ref="A1305" r:id="rId487" display="UHARC 0.6b -mm+ -mx 32MB Uwe Herklotz"/>
    <hyperlink ref="A1316" r:id="rId488" display="DGCA 1.00 - 1.10e (2004-2006) Shin-ichi Tsuruta"/>
    <hyperlink ref="A1319" r:id="rId489" display="BSC 3.1.0 -b1024rsca -m0 -H28 -M255 I. Grebnov"/>
    <hyperlink ref="A1310" r:id="rId490" display="FP8_v3 -7 (2012) Jan Ondrus"/>
    <hyperlink ref="F1224" r:id="rId491" display="PAQ 8pxd_v16-skbuild -s8:2 M. Mahoney, K. Orav et al."/>
    <hyperlink ref="F1225" r:id="rId492"/>
    <hyperlink ref="F1236" r:id="rId493" display="PreComp 0.4.3 Christian Schneider"/>
    <hyperlink ref="F1229" r:id="rId494" display="7-Zip x64 9.1.7 (0=delta:4 1=lzma:lp1:d96:fb273) Igor Pavlov"/>
    <hyperlink ref="F1241" r:id="rId495" display="WinRar x64 v3.92 (4096 KB dictionary + Delta) Eugene Roshal"/>
    <hyperlink ref="F1238" r:id="rId496" display="BSC 3.1.0 -b1024rsca -m0 -H28 -M255 I. Grebnov"/>
    <hyperlink ref="F1234" r:id="rId497" display="BSC 3.1.0 -b1024pcae2 Ilya Grebnov"/>
    <hyperlink ref="F1239" r:id="rId498" display="BZIP2 1.0.6 (2011) -9 Julian Seward"/>
    <hyperlink ref="F1255" r:id="rId499" display="ZCM 0.92 -m7 -r -s (2014) Francesco Nania"/>
    <hyperlink ref="F1245" r:id="rId500" display="http://cs.txstate.edu/~burtscher/research/datasets/FPdouble/"/>
    <hyperlink ref="F1254" r:id="rId501" display="NanoZip 0.09α -cc -m2g (04.11.2011) Sami Runsas"/>
    <hyperlink ref="F1242" r:id="rId502" display="Durilca 0.4b (2004) -m800 -t1 Dmitry Shkarin"/>
    <hyperlink ref="F1248" r:id="rId503" display="WinZip 16.5.10095 (ZIPX) best method"/>
    <hyperlink ref="F1247" r:id="rId504" display="WinZip 16.0 - 19.0 legacy Deflate Corel Corp."/>
    <hyperlink ref="F1257" r:id="rId505" display="UHARC 0.6b -mm+ -mx 32MB Uwe Herklotz"/>
    <hyperlink ref="F1250" r:id="rId506" display="DGCA 1.00 - 1.10e (2004-2006) Shin-ichi Tsuruta"/>
    <hyperlink ref="F1251" r:id="rId507" display="BSC 3.1.0 -b1024rsca -m0 -H28 -M255 I. Grebnov"/>
    <hyperlink ref="F1252" r:id="rId508" display="FP8_v3 -7 (2012) Jan Ondrus"/>
    <hyperlink ref="A1231" r:id="rId509"/>
    <hyperlink ref="A1233" r:id="rId510" display="LZHAM α7r1 -m4 -d29 -t7 -e -x Rich Geldreich, Jr."/>
    <hyperlink ref="A1242" r:id="rId511" display="PreComp 0.4.3 Christian Schneider"/>
    <hyperlink ref="A1237" r:id="rId512" display="7-Zip x64 9.1.7 (0=delta:4 1=lzma:lp1:d96:fb273) Igor Pavlov"/>
    <hyperlink ref="A1239" r:id="rId513" display="BSC 3.1.0 -b1024rsca -m0 -H28 -M255 I. Grebnov"/>
    <hyperlink ref="A1244" r:id="rId514" display="BSC 3.1.0 -b1024pcae2 Ilya Grebnov"/>
    <hyperlink ref="A1236" r:id="rId515" display="BZIP2 1.0.6 (2011) -9 Julian Seward"/>
    <hyperlink ref="A1253" r:id="rId516" display="MCM 0.3 -9 (2013) Matthieu Chartier"/>
    <hyperlink ref="A1250" r:id="rId517" display="PAQ 8pxd_v16-skbuild -s8:2 M. Mahoney, K. Orav et al."/>
    <hyperlink ref="A1252" r:id="rId518" display="NanoZip 0.09α -cc -m2g (04.11.2011) Sami Runsas"/>
    <hyperlink ref="A1247" r:id="rId519" display="PPMonstr var J -m800 Dmitry Shkarin"/>
    <hyperlink ref="A1251" r:id="rId520" display="WinZip 16.5.10095 (ZIPX) best method"/>
    <hyperlink ref="A1258" r:id="rId521" display="UHARC 0.6b -mm+ -mx 32MB Uwe Herklotz"/>
    <hyperlink ref="A1254" r:id="rId522" display="WinRar x64 v3.92 (4096 KB dictionary + Delta) Eugene Roshal"/>
    <hyperlink ref="A1249" r:id="rId523" display="WinAce v2.69 Final (4096 KB dict + Delta) Marcel Lemke"/>
    <hyperlink ref="A1259" r:id="rId524" display="DGCA 1.00 - 1.10e (2004-2006) Shin-ichi Tsuruta"/>
    <hyperlink ref="A1260" r:id="rId525" display="BSC 3.1.0 -b1024rsca -m0 -H28 -M255 I. Grebnov"/>
    <hyperlink ref="A1255" r:id="rId526" display="MCM 0.3 -9 (2013) Matthieu Chartier"/>
    <hyperlink ref="F1179" r:id="rId527"/>
    <hyperlink ref="F1178" r:id="rId528" display="NanoZip 0.09α -cc -m2g (04.11.2011) Sami Runsas"/>
    <hyperlink ref="F1184" r:id="rId529" display="PreComp 0.4.3 Christian Schneider"/>
    <hyperlink ref="F1181" r:id="rId530" display="7-Zip x64 9.1.7 (0=delta:4 1=lzma:lp1:d96:fb273) Igor Pavlov"/>
    <hyperlink ref="F1186" r:id="rId531" display="BSC 3.1.0 -b1024rsca -m0 -H28 -M255 I. Grebnov"/>
    <hyperlink ref="F1190" r:id="rId532" display="BZIP2 1.0.6 (2011) -9 Julian Seward"/>
    <hyperlink ref="F1182" r:id="rId533" display="PAQ 8pxd_v16-skbuild -s8:2 M. Mahoney, K. Orav et al."/>
    <hyperlink ref="F1202" r:id="rId534" display="MCM 0.3 -9 (2013) Matthieu Chartier"/>
    <hyperlink ref="F1197" r:id="rId535" display="PAQ 8pxd_v16-skbuild -s8:2 M. Mahoney, K. Orav et al."/>
    <hyperlink ref="F1200" r:id="rId536" display="NanoZip 0.09α -cc -m2g (04.11.2011) Sami Runsas"/>
    <hyperlink ref="F1193" r:id="rId537" display="PPMonstr var J -m800 Dmitry Shkarin"/>
    <hyperlink ref="F1203" r:id="rId538" display="WinZip 16.5.10095 (ZIPX) best method"/>
    <hyperlink ref="F1209" r:id="rId539" display="UHARC 0.6b -mm+ -mx 32MB Uwe Herklotz"/>
    <hyperlink ref="F1196" r:id="rId540" display="WinRar x64 v3.92 (4096 KB dictionary + Delta) Eugene Roshal"/>
    <hyperlink ref="F1194" r:id="rId541" display="WinAce v2.69 Final (4096 KB dict + Delta) Marcel Lemke"/>
    <hyperlink ref="F1204" r:id="rId542" display="DGCA 1.00 - 1.10e (2004-2006) Shin-ichi Tsuruta"/>
    <hyperlink ref="F1205" r:id="rId543" display="BSC 3.1.0 -b1024pcae2 Ilya Grebnov"/>
    <hyperlink ref="F1201" r:id="rId544" display="MCM 0.3 -9 (2013) Matthieu Chartier"/>
    <hyperlink ref="A1181" r:id="rId545" display="BSC 3.1.0 -b1024pcae2 Ilya Grebnov"/>
    <hyperlink ref="A1196" r:id="rId546" display="http://cs.txstate.edu/~burtscher/research/datasets/FPdouble/"/>
    <hyperlink ref="A1188" r:id="rId547" display="PreComp 0.4.3 Christian Schneider"/>
    <hyperlink ref="A1194" r:id="rId548" display="PPMonstr var J -m800 Dmitry Shkarin"/>
    <hyperlink ref="A1183" r:id="rId549" display="7-Zip x64 9.1.7 (0=delta:4 1=lzma:lp1:d96:fb273) Igor Pavlov"/>
    <hyperlink ref="A1197" r:id="rId550" display="UHARC 0.6b -mm+ -mx 32MB Uwe Herklotz"/>
    <hyperlink ref="A1192" r:id="rId551" display="WinRar x64 v3.92 (4096 KB dictionary + Delta) Eugene Roshal"/>
    <hyperlink ref="A1186" r:id="rId552" display="BSC 3.1.0 -b1024pcae2 Ilya Grebnov"/>
    <hyperlink ref="A1182" r:id="rId553" display="CSC 3.2 -m3 -d512 (18.08.2011) Siyuan Fu"/>
    <hyperlink ref="A1204" r:id="rId554" display="MCM 0.3 -9 (2013) Matthieu Chartier"/>
    <hyperlink ref="A1201" r:id="rId555" display="NanoZip 0.09α -cc -m2g (04.11.2011) Sami Runsas"/>
    <hyperlink ref="A1206" r:id="rId556" display="WinZip 16.5.10095 (ZIPX) best method"/>
    <hyperlink ref="A1202" r:id="rId557" display="UHARC 0.6b -mm+ -mx 32MB Uwe Herklotz"/>
    <hyperlink ref="A1205" r:id="rId558" display="DGCA 1.00 - 1.10e (2004-2006) Shin-ichi Tsuruta"/>
    <hyperlink ref="A1208" r:id="rId559" display="BSC 3.1.0 -b1024rsca -m0 -H28 -M255 I. Grebnov"/>
    <hyperlink ref="A1199" r:id="rId560" display="PAQ 8pxd_v16-skbuild -s8:2 M. Mahoney, K. Orav et al."/>
    <hyperlink ref="A985" r:id="rId561" display="AntiZ 0.10a"/>
    <hyperlink ref="F984" r:id="rId562" display="AntiZ 0.10a"/>
    <hyperlink ref="A1037" r:id="rId563" display="AntiZ 0.10a"/>
    <hyperlink ref="F43" r:id="rId564" display="MCM 0.3 -9 (2013) Matthieu Chartier"/>
    <hyperlink ref="F94" r:id="rId565" display="MCM 0.3 -9 (2013) Matthieu Chartier"/>
    <hyperlink ref="A97" r:id="rId566" display="MCM 0.3 -9 (2013) Matthieu Chartier"/>
    <hyperlink ref="A155" r:id="rId567" display="MCM 0.3 -9 (2013) Matthieu Chartier"/>
    <hyperlink ref="A712" r:id="rId568" display="MCM 0.3 -9 (2013) Matthieu Chartier"/>
    <hyperlink ref="A783" r:id="rId569" display="MCM 0.3 -9 (2013) Matthieu Chartier"/>
    <hyperlink ref="A843" r:id="rId570" display="MCM 0.3 -9 (2013) Matthieu Chartier"/>
    <hyperlink ref="F851" r:id="rId571" display="MCM 0.3 -9 (2013) Matthieu Chartier"/>
    <hyperlink ref="F903" r:id="rId572" display="MCM 0.3 -9 (2013) Matthieu Chartier"/>
    <hyperlink ref="A898" r:id="rId573" display="MCM 0.3 -9 (2013) Matthieu Chartier"/>
    <hyperlink ref="A953" r:id="rId574" display="MCM 0.3 -9 (2013) Matthieu Chartier"/>
    <hyperlink ref="F950" r:id="rId575" display="MCM 0.3 -9 (2013) Matthieu Chartier"/>
    <hyperlink ref="A1012" r:id="rId576" display="MCM 0.3 -9 (2013) Matthieu Chartier"/>
    <hyperlink ref="F1079" r:id="rId577" display="MCM 0.3 -9 (2013) Matthieu Chartier"/>
    <hyperlink ref="A1081" r:id="rId578" display="MCM 0.3 -9 (2013) Matthieu Chartier"/>
    <hyperlink ref="A1124" r:id="rId579" display="MCM 0.3 -9 (2013) Matthieu Chartier"/>
    <hyperlink ref="A1179" r:id="rId580" display="MCM 0.3 -9 (2013) Matthieu Chartier"/>
    <hyperlink ref="F1177" r:id="rId581" display="MCM 0.3 -9 (2013) Matthieu Chartier"/>
    <hyperlink ref="A1234" r:id="rId582" display="MCM 0.3 -9 (2013) Matthieu Chartier"/>
    <hyperlink ref="F1228" r:id="rId583" display="MCM 0.3 -9 (2013) Matthieu Chartier"/>
    <hyperlink ref="A1289" r:id="rId584" display="MCM 0.3 -9 (2013) Matthieu Chartier"/>
    <hyperlink ref="F1290" r:id="rId585" display="MCM 0.3 -9 (2013) Matthieu Chartier"/>
    <hyperlink ref="A1339" r:id="rId586" display="MCM 0.3 -9 (2013) Matthieu Chartier"/>
    <hyperlink ref="F1340" r:id="rId587" display="MCM 0.3 -9 (2013) Matthieu Chartier"/>
    <hyperlink ref="A1399" r:id="rId588" display="MCM 0.3 -9 (2013) Matthieu Chartier"/>
    <hyperlink ref="F1404" r:id="rId589" display="MCM 0.3 -9 (2013) Matthieu Chartier"/>
    <hyperlink ref="F1440" r:id="rId590" display="MCM 0.3 -9 (2013) Matthieu Chartier"/>
    <hyperlink ref="A1453" r:id="rId591" display="MCM 0.3 -9 (2013) Matthieu Chartier"/>
    <hyperlink ref="A1273" r:id="rId592"/>
    <hyperlink ref="A1164" r:id="rId593"/>
    <hyperlink ref="A989" r:id="rId594"/>
    <hyperlink ref="F1424:I1424" r:id="rId595" display="Unstructural Hexahedral Meshes I"/>
    <hyperlink ref="A14" r:id="rId596"/>
    <hyperlink ref="F879" r:id="rId597"/>
    <hyperlink ref="A185" r:id="rId598" display="CANON EOS 7D RAW Image (.CR2)"/>
    <hyperlink ref="A124" r:id="rId599"/>
    <hyperlink ref="F1213" r:id="rId600"/>
    <hyperlink ref="A687" r:id="rId601"/>
    <hyperlink ref="A752" r:id="rId602"/>
    <hyperlink ref="A818" r:id="rId603"/>
    <hyperlink ref="F14" r:id="rId604"/>
    <hyperlink ref="F1273" r:id="rId605"/>
    <hyperlink ref="A879" r:id="rId606"/>
    <hyperlink ref="A1050" r:id="rId607" display="IT (Impulse Tracker Module) [37 .WAV samples, 16-bit mono + stereo]"/>
    <hyperlink ref="F69" r:id="rId608"/>
    <hyperlink ref="F687" r:id="rId609"/>
    <hyperlink ref="A1213" r:id="rId610"/>
    <hyperlink ref="F1050" r:id="rId611" display="MPTM (OpenMPT Module) [47 .WAV samples, 16-bit mono + stereo]"/>
    <hyperlink ref="A1424:D1424" r:id="rId612" display="IEEE 754 64-Bit Double-Precision Floating-Point Dataset"/>
    <hyperlink ref="F1381:I1381" r:id="rId613" display="IEEE 754 64-Bit Double-Precision Floating-Point Dataset"/>
    <hyperlink ref="A1381:D1381" r:id="rId614" display="IEEE 754 64-Bit Double-Precision Floating-Point Dataset"/>
    <hyperlink ref="F1164" r:id="rId615"/>
    <hyperlink ref="A934" r:id="rId616"/>
    <hyperlink ref="A69" r:id="rId617"/>
    <hyperlink ref="A1324" r:id="rId618"/>
    <hyperlink ref="F818" r:id="rId619"/>
    <hyperlink ref="F1324" r:id="rId620"/>
    <hyperlink ref="F934" r:id="rId621"/>
    <hyperlink ref="A1104" r:id="rId622" display="XM (Fast Tracker Module) [102 .WAV samples, 8-bit + 16-bit mono]"/>
    <hyperlink ref="F47" r:id="rId623" display="ZSTD 0.01 (2015) Yann Collet"/>
    <hyperlink ref="A52" r:id="rId624" display="ZSTD 0.01 (2015) Yann Collet"/>
    <hyperlink ref="F114" r:id="rId625" display="ZSTD 0.01 (2015) Yann Collet"/>
    <hyperlink ref="A109" r:id="rId626" display="ZSTD 0.01 (2015) Yann Collet"/>
    <hyperlink ref="A726" r:id="rId627" display="ZSTD 0.01 (2015) Yann Collet"/>
    <hyperlink ref="F860" r:id="rId628" display="ZSTD 0.01 (2015) Yann Collet"/>
    <hyperlink ref="A856" r:id="rId629" display="ZSTD 0.01 (2015) Yann Collet"/>
    <hyperlink ref="F923" r:id="rId630" display="ZSTD 0.01 (2015) Yann Collet"/>
    <hyperlink ref="A914" r:id="rId631" display="ZSTD 0.01 (2015) Yann Collet"/>
    <hyperlink ref="F978" r:id="rId632" display="ZSTD 0.01 (2015) Yann Collet"/>
    <hyperlink ref="A973" r:id="rId633" display="ZSTD 0.01 (2015) Yann Collet"/>
    <hyperlink ref="F1097" r:id="rId634" display="ZSTD 0.01 (2015) Yann Collet"/>
    <hyperlink ref="A1097" r:id="rId635" display="ZSTD 0.01 (2015) Yann Collet"/>
    <hyperlink ref="F1207" r:id="rId636" display="ZSTD 0.01 (2015) Yann Collet"/>
    <hyperlink ref="A1207" r:id="rId637" display="ZSTD 0.01 (2015) Yann Collet"/>
    <hyperlink ref="F1256" r:id="rId638" display="ZSTD 0.01 (2015) Yann Collet"/>
    <hyperlink ref="A1262" r:id="rId639" display="ZSTD 0.01 (2015) Yann Collet"/>
    <hyperlink ref="F1310" r:id="rId640" display="ZSTD 0.01 (2015) Yann Collet"/>
    <hyperlink ref="A1313" r:id="rId641" display="ZSTD 0.01 (2015) Yann Collet"/>
    <hyperlink ref="F1370" r:id="rId642" display="ZSTD 0.01 (2015) Yann Collet"/>
    <hyperlink ref="A1362" r:id="rId643" display="ZSTD 0.01 (2015) Yann Collet"/>
    <hyperlink ref="F1416" r:id="rId644" display="ZSTD 0.01 (2015) Yann Collet"/>
    <hyperlink ref="A1411" r:id="rId645" display="ZSTD 0.01 (2015) Yann Collet"/>
    <hyperlink ref="A1459" r:id="rId646" display="ZSTD 0.01 (2015) Yann Collet"/>
    <hyperlink ref="A172" r:id="rId647" display="ZSTD 0.01 (2015) Yann Collet"/>
    <hyperlink ref="A796" r:id="rId648" display="ZSTD 0.01 (2015) Yann Collet"/>
    <hyperlink ref="A1031" r:id="rId649" display="ZSTD 0.01 (2015) Yann Collet"/>
    <hyperlink ref="A1149" r:id="rId650" display="ZSTD 0.01 (2015) Yann Collet"/>
    <hyperlink ref="A884" r:id="rId651" display="PAQ8px_v70 -7 (08.03.'16) M. Mahoney, J. Ondrus et al"/>
    <hyperlink ref="F941" r:id="rId652" display="PAQ8px_v70 -7 (08.03.'16) M. Mahoney, J. Ondrus et al"/>
    <hyperlink ref="A938" r:id="rId653" display="PAQ8px_v70 -7 (08.03.'16) M. Mahoney, J. Ondrus et al"/>
    <hyperlink ref="A997" r:id="rId654" display="PAQ8px_v70 -7 (08.03.'16) M. Mahoney, J. Ondrus et al"/>
    <hyperlink ref="A1170" r:id="rId655" display="PAQ8px_v70 -7 (08.03.'16) M. Mahoney, J. Ondrus et al"/>
    <hyperlink ref="F1169" r:id="rId656" display="PAQ8px_v70 -7 (08.03.'16) M. Mahoney, J. Ondrus et al"/>
    <hyperlink ref="F1220" r:id="rId657" display="PAQ8px_v70 -7 (08.03.'16) M. Mahoney, J. Ondrus et al"/>
    <hyperlink ref="A1227" r:id="rId658" display="PAQ8px_v70 -7 (08.03.'16) M. Mahoney, J. Ondrus et al"/>
    <hyperlink ref="A694" r:id="rId659" display="PAQ8px_v70 -7 (08.03.'16) M. Mahoney, J. Ondrus et al"/>
    <hyperlink ref="A22" r:id="rId660" display="PAQ8px_v70 -7 (08.03.'16) M. Mahoney, J. Ondrus et al"/>
    <hyperlink ref="F19" r:id="rId661" display="PAQ8px_v70 -7 (08.03.'16) M. Mahoney, J. Ondrus et al"/>
    <hyperlink ref="F77" r:id="rId662" display="PAQ8px_v70 -7 (08.03.'16) M. Mahoney, J. Ondrus et al"/>
    <hyperlink ref="A73" r:id="rId663" display="PAQ8px_v70 -7 (08.03.'16) M. Mahoney, J. Ondrus et al"/>
    <hyperlink ref="A138" r:id="rId664" display="PAQ8px_v70 -7 (08.03.'16) M. Mahoney, J. Ondrus et al"/>
    <hyperlink ref="A693" r:id="rId665" display="PAQ8px_v70 -7 (08.03.'16) M. Mahoney, J. Ondrus et al"/>
    <hyperlink ref="A760" r:id="rId666" display="PAQ8px_v70 -7 (08.03.'16) M. Mahoney, J. Ondrus et al"/>
    <hyperlink ref="A824" r:id="rId667" display="PAQ8px_v70 -7 (08.03.'16) M. Mahoney, J. Ondrus et al"/>
    <hyperlink ref="F828" r:id="rId668" display="PAQ8px_v70 -7 (08.03.'16) M. Mahoney, J. Ondrus et al"/>
    <hyperlink ref="F886" r:id="rId669" display="PAQ8px_v70 -7 (08.03.'16) M. Mahoney, J. Ondrus et al"/>
    <hyperlink ref="A883" r:id="rId670" display="PAQ8px_v70 -7 (08.03.'16) M. Mahoney, J. Ondrus et al"/>
    <hyperlink ref="F940" r:id="rId671" display="PAQ8px_v70 -7 (08.03.'16) M. Mahoney, J. Ondrus et al"/>
    <hyperlink ref="A939" r:id="rId672" display="PAQ8px_v70 -7 (08.03.'16) M. Mahoney, J. Ondrus et al"/>
    <hyperlink ref="A996" r:id="rId673" display="PAQ8px_v70 -7 (08.03.'16) M. Mahoney, J. Ondrus et al"/>
    <hyperlink ref="A1066" r:id="rId674" display="PAQ8px_v70 -7 (08.03.'16) M. Mahoney, J. Ondrus et al"/>
    <hyperlink ref="F1065" r:id="rId675" display="PAQ8px_v70 -7 (08.03.'16) M. Mahoney, J. Ondrus et al"/>
    <hyperlink ref="A1116" r:id="rId676" display="PAQ8px_v70 -7 (08.03.'16) M. Mahoney, J. Ondrus et al"/>
    <hyperlink ref="A1169" r:id="rId677" display="PAQ8px_v70 -7 (08.03.'16) M. Mahoney, J. Ondrus et al"/>
    <hyperlink ref="F1168" r:id="rId678" display="PAQ8px_v70 -7 (08.03.'16) M. Mahoney, J. Ondrus et al"/>
    <hyperlink ref="F1218" r:id="rId679" display="PAQ8px_v70 -7 (08.03.'16) M. Mahoney, J. Ondrus et al"/>
    <hyperlink ref="A1225" r:id="rId680" display="PAQ8px_v70 -7 (08.03.'16) M. Mahoney, J. Ondrus et al"/>
    <hyperlink ref="A320" r:id="rId681"/>
    <hyperlink ref="A349" r:id="rId682"/>
    <hyperlink ref="A338" r:id="rId683" display="NanoZip 0.09α -cc -m2g (04.11.2011) Sami Runsas"/>
    <hyperlink ref="A348" r:id="rId684" display="DGCA 1.00 - 1.10e (2004-2006) Shin-ichi Tsuruta"/>
    <hyperlink ref="A332" r:id="rId685" display="http://img.photographyblog.com/reviews/nikon_d3x/sample_images/nikon_d3x_08.nef"/>
    <hyperlink ref="A331" r:id="rId686" display="MCM 0.3 -9 (2013) Matthieu Chartier"/>
    <hyperlink ref="A342" r:id="rId687"/>
    <hyperlink ref="A345" r:id="rId688" display="LZHAM α7r1 -m4 -d29 -t7 -e -x Rich Geldreich, Jr."/>
    <hyperlink ref="A329" r:id="rId689"/>
    <hyperlink ref="A351" r:id="rId690" display="7-Zip x64 9.1.7 (0=delta:4 1=lzma:lp1:d96:fb273) Igor Pavlov"/>
    <hyperlink ref="A346" r:id="rId691" display="WinZip 16.5.10095 (ZIPX) best method"/>
    <hyperlink ref="A357" r:id="rId692" display="WinZip 16.0 - 19.0 legacy Deflate Corel Corp."/>
    <hyperlink ref="A330" r:id="rId693"/>
    <hyperlink ref="A344" r:id="rId694" display="WinAce v2.69 Final (4096 KB dict + Delta) Marcel Lemke"/>
    <hyperlink ref="A347" r:id="rId695"/>
    <hyperlink ref="A327" r:id="rId696"/>
    <hyperlink ref="A335" r:id="rId697"/>
    <hyperlink ref="A352" r:id="rId698"/>
    <hyperlink ref="A322" r:id="rId699" display="MCM 0.3 -9 (2013) Matthieu Chartier"/>
    <hyperlink ref="A358" r:id="rId700" display="ZSTD 0.01 (2015) Yann Collet"/>
    <hyperlink ref="A314" r:id="rId701" display="PAQ8px_v70 -7 (08.03.'16) M. Mahoney, J. Ondrus et al"/>
    <hyperlink ref="A24" r:id="rId702" display="PreComp 0.4.5 dev Christian Schneider"/>
    <hyperlink ref="A770" r:id="rId703" display="ECT 0.3 (2016) -9 -allfilters Felix Hanau"/>
    <hyperlink ref="A1218" r:id="rId704" display="packMP3 1.0c (2012) Matthias Stirner"/>
    <hyperlink ref="A1336" r:id="rId705" display="PAQ8pxd_v18 -s8:2 M. Mahoney, K. Orav et al."/>
    <hyperlink ref="F1332" r:id="rId706" display="PAQ8pxd_v18 -s8:2 M. Mahoney, K. Orav et al."/>
    <hyperlink ref="A1280" r:id="rId707" display="PAQ8pxd_v18 -s8:2 M. Mahoney, K. Orav et al."/>
    <hyperlink ref="F1283" r:id="rId708" display="PAQ8pxd_v18 -s8:2 M. Mahoney, K. Orav et al."/>
    <hyperlink ref="A1224" r:id="rId709" display="PAQ8pxd_v18 -s8:2 M. Mahoney, K. Orav et al."/>
    <hyperlink ref="F1219" r:id="rId710" display="PAQ8pxd_v18 -s8:2 M. Mahoney, K. Orav et al."/>
    <hyperlink ref="A1176" r:id="rId711" display="PAQ8pxd_v18 -s8:2 M. Mahoney, K. Orav et al."/>
    <hyperlink ref="F1174" r:id="rId712" display="PAQ8pxd_v18 -s8:2 M. Mahoney, K. Orav et al."/>
    <hyperlink ref="A1064" r:id="rId713" display="PAQ8pxd_v18 -s8:2 M. Mahoney, K. Orav et al."/>
    <hyperlink ref="F1063" r:id="rId714" display="PAQ8pxd_v18 -s8:2 M. Mahoney, K. Orav et al."/>
    <hyperlink ref="A943" r:id="rId715" display="PAQ8pxd_v18 -s8:2 M. Mahoney, K. Orav et al."/>
    <hyperlink ref="F946" r:id="rId716" display="PAQ8pxd_v18 -s8:2 M. Mahoney, K. Orav et al."/>
    <hyperlink ref="A891" r:id="rId717" display="PAQ8pxd_v18 -s8:2 M. Mahoney, K. Orav et al."/>
    <hyperlink ref="F881" r:id="rId718" display="PAQ8pxd_v18 -s8:2 M. Mahoney, K. Orav et al."/>
    <hyperlink ref="A825" r:id="rId719" display="PAQ8pxd_v18 -s8:2 M. Mahoney, K. Orav et al."/>
    <hyperlink ref="F831" r:id="rId720" display="PAQ8pxd_v18 -s8:2 M. Mahoney, K. Orav et al."/>
    <hyperlink ref="A692" r:id="rId721" display="PAQ8pxd_v18 -s8:2 M. Mahoney, K. Orav et al."/>
    <hyperlink ref="A74" r:id="rId722" display="PAQ8pxd_v18 -s8:2 M. Mahoney, K. Orav et al."/>
    <hyperlink ref="F79" r:id="rId723" display="PAQ8pxd_v18 -s8:2 M. Mahoney, K. Orav et al."/>
    <hyperlink ref="A21" r:id="rId724" display="PAQ8pxd_v18 -s8:2 M. Mahoney, K. Orav et al."/>
    <hyperlink ref="F28" r:id="rId725" display="PAQ8pxd_v18 -s8:2 M. Mahoney, K. Orav et al."/>
    <hyperlink ref="A141" r:id="rId726" display="PAQ8pxd_v18 -s8:2 M. Mahoney, K. Orav et al."/>
    <hyperlink ref="A758" r:id="rId727" display="PAQ8pxd_v18 -s8:2 M. Mahoney, K. Orav et al."/>
    <hyperlink ref="A999" r:id="rId728" display="PAQ8pxd_v18 -s8:2 M. Mahoney, K. Orav et al."/>
    <hyperlink ref="A1114" r:id="rId729" display="PAQ8pxd_v18 -s8:2 M. Mahoney, K. Orav et al."/>
    <hyperlink ref="A1404" r:id="rId730"/>
    <hyperlink ref="A1405" r:id="rId731"/>
    <hyperlink ref="F1405" r:id="rId732"/>
    <hyperlink ref="F1409" r:id="rId733"/>
    <hyperlink ref="A1442" r:id="rId734"/>
    <hyperlink ref="A1437" r:id="rId735"/>
    <hyperlink ref="A1358" r:id="rId736"/>
    <hyperlink ref="A1354" r:id="rId737"/>
    <hyperlink ref="F1353" r:id="rId738"/>
    <hyperlink ref="F1363" r:id="rId739"/>
    <hyperlink ref="F1293" r:id="rId740"/>
    <hyperlink ref="F1304" r:id="rId741"/>
    <hyperlink ref="A1296" r:id="rId742"/>
    <hyperlink ref="A1293" r:id="rId743"/>
    <hyperlink ref="A1248" r:id="rId744"/>
    <hyperlink ref="A1246" r:id="rId745"/>
    <hyperlink ref="F1243" r:id="rId746"/>
    <hyperlink ref="F1240" r:id="rId747"/>
    <hyperlink ref="F1195" r:id="rId748"/>
    <hyperlink ref="F1192" r:id="rId749"/>
    <hyperlink ref="A1193" r:id="rId750"/>
    <hyperlink ref="A1187" r:id="rId751"/>
    <hyperlink ref="A1129" r:id="rId752"/>
    <hyperlink ref="A1142" r:id="rId753"/>
    <hyperlink ref="A1075" r:id="rId754"/>
    <hyperlink ref="A1087" r:id="rId755"/>
    <hyperlink ref="F1074" r:id="rId756"/>
    <hyperlink ref="F1090" r:id="rId757"/>
    <hyperlink ref="A1003" r:id="rId758"/>
    <hyperlink ref="A1024" r:id="rId759"/>
    <hyperlink ref="A954" r:id="rId760"/>
    <hyperlink ref="A966" r:id="rId761"/>
    <hyperlink ref="F959" r:id="rId762"/>
    <hyperlink ref="F973" r:id="rId763"/>
    <hyperlink ref="F900" r:id="rId764"/>
    <hyperlink ref="F916" r:id="rId765"/>
    <hyperlink ref="A904" r:id="rId766"/>
    <hyperlink ref="A905" r:id="rId767"/>
    <hyperlink ref="A852" r:id="rId768"/>
    <hyperlink ref="A840" r:id="rId769"/>
    <hyperlink ref="F843" r:id="rId770"/>
    <hyperlink ref="F842" r:id="rId771"/>
    <hyperlink ref="A791" r:id="rId772"/>
    <hyperlink ref="A788" r:id="rId773"/>
    <hyperlink ref="A721" r:id="rId774"/>
    <hyperlink ref="A716" r:id="rId775"/>
    <hyperlink ref="A336" r:id="rId776"/>
    <hyperlink ref="A145" r:id="rId777"/>
    <hyperlink ref="A169" r:id="rId778"/>
    <hyperlink ref="A94" r:id="rId779"/>
    <hyperlink ref="A90" r:id="rId780"/>
    <hyperlink ref="F103" r:id="rId781"/>
    <hyperlink ref="F97" r:id="rId782"/>
    <hyperlink ref="F42" r:id="rId783"/>
    <hyperlink ref="F39" r:id="rId784"/>
    <hyperlink ref="A47" r:id="rId785"/>
    <hyperlink ref="A49" r:id="rId786"/>
    <hyperlink ref="A628" r:id="rId787" display="PAQ 8pxd_v16-skbuild -s8:2 M. Mahoney, K. Orav et al."/>
    <hyperlink ref="A634" r:id="rId788" display="UHARC v0.6b (PPM, 32MB dict., Multimedia ) U. Herklotz"/>
    <hyperlink ref="A636" r:id="rId789"/>
    <hyperlink ref="A639" r:id="rId790" display="NanoZip 0.09α -cc -m2g (04.11.2011) Sami Runsas"/>
    <hyperlink ref="A649" r:id="rId791" display="7-Zip x64 9.1.7 (0=delta:4 1=lzma:lp1:d96:fb273) Igor Pavlov"/>
    <hyperlink ref="A645" r:id="rId792"/>
    <hyperlink ref="A642" r:id="rId793"/>
    <hyperlink ref="A648" r:id="rId794" display="DGCA 1.00 - 1.10e (2004-2006) Shin-ichi Tsuruta"/>
    <hyperlink ref="A647" r:id="rId795"/>
    <hyperlink ref="A643" r:id="rId796"/>
    <hyperlink ref="A653" r:id="rId797" display="ZCM 0.92 -m7 -r -s (2014) Francesco Nania"/>
    <hyperlink ref="A659" r:id="rId798"/>
    <hyperlink ref="A652" r:id="rId799"/>
    <hyperlink ref="A656" r:id="rId800" display="7-Zip x64 9.1.7 (0=delta:4 1=lzma:lp1:d96:fb273) Igor Pavlov"/>
    <hyperlink ref="A635" r:id="rId801" display="WinZip 16.5.10095 (ZIPX) best method"/>
    <hyperlink ref="A665" r:id="rId802" display="WinZip 16.0 - 19.0 legacy Deflate Corel Corp."/>
    <hyperlink ref="A660" r:id="rId803"/>
    <hyperlink ref="A668" r:id="rId804" display="WinAce v2.69 Final (4096 KB dict + Delta) Marcel Lemke"/>
    <hyperlink ref="A657" r:id="rId805"/>
    <hyperlink ref="A662" r:id="rId806"/>
    <hyperlink ref="A641" r:id="rId807" display="MCM 0.3 -9 (2013) Matthieu Chartier"/>
    <hyperlink ref="A614" r:id="rId808" display="SONY A55 RAW Image (.ARW)"/>
    <hyperlink ref="A666" r:id="rId809" display="ZSTD 0.01 (2015) Yann Collet"/>
    <hyperlink ref="A629" r:id="rId810" display="PAQ8px_v70 -7 (08.03.'16) M. Mahoney, J. Ondrus et al"/>
    <hyperlink ref="A627" r:id="rId811" display="PAQ8pxd_v18 -s8:2 M. Mahoney, K. Orav et al."/>
    <hyperlink ref="A651" r:id="rId812"/>
    <hyperlink ref="F614" r:id="rId813" display="SONY A7 Mark II RAW Image (.ARW)"/>
    <hyperlink ref="F550" r:id="rId814" display="SIGMA DP2 RAW image (.X3F)"/>
    <hyperlink ref="F553" r:id="rId815" display="PAQ8pxd_v18 -s8:2 M. Mahoney, K. Orav et al."/>
    <hyperlink ref="A588" r:id="rId816"/>
    <hyperlink ref="A573" r:id="rId817"/>
    <hyperlink ref="A580" r:id="rId818" display=".RWZ RAWZOR (lossless) Sachin Garg 2010"/>
    <hyperlink ref="A584" r:id="rId819" display="MCM 0.3 -9 (2013) Matthieu Chartier"/>
    <hyperlink ref="A589" r:id="rId820"/>
    <hyperlink ref="A595" r:id="rId821" display="7-Zip x64 9.1.7 (0=delta:4 1=lzma:lp1:d96:fb273) Igor Pavlov"/>
    <hyperlink ref="A591" r:id="rId822" display="WinZip 16.5.10095 (ZIPX) best method"/>
    <hyperlink ref="A603" r:id="rId823" display="WinZip 16.0 - 19.0 legacy Deflate Corel Corp."/>
    <hyperlink ref="A579" r:id="rId824"/>
    <hyperlink ref="A599" r:id="rId825" display="WinAce v2.69 Final (4096 KB dict + Delta) Marcel Lemke"/>
    <hyperlink ref="A596" r:id="rId826"/>
    <hyperlink ref="A581" r:id="rId827" display="DGCA 1.00 - 1.10e (2004-2006) Shin-ichi Tsuruta"/>
    <hyperlink ref="A583" r:id="rId828"/>
    <hyperlink ref="A574" r:id="rId829"/>
    <hyperlink ref="A590" r:id="rId830"/>
    <hyperlink ref="A569" r:id="rId831" display="MCM 0.3 -9 (2013) Matthieu Chartier"/>
    <hyperlink ref="A602" r:id="rId832" display="ZSTD 0.01 (2015) Yann Collet"/>
    <hyperlink ref="A558" r:id="rId833" display="PAQ8px_v70 -7 (08.03.'16) M. Mahoney, J. Ondrus et al"/>
    <hyperlink ref="A577" r:id="rId834" display="NanoZip 0.09α -cc -m2g (04.11.2011) Sami Runsas"/>
    <hyperlink ref="A593" r:id="rId835"/>
    <hyperlink ref="A568" r:id="rId836"/>
    <hyperlink ref="A605" r:id="rId837" display=".RWZ RAWZOR (lossless) Sachin Garg 2010"/>
    <hyperlink ref="A555" r:id="rId838" display="PAQ 8pxd_v16-skbuild -s8:2 M. Mahoney, K. Orav et al."/>
    <hyperlink ref="A554" r:id="rId839" display="PAQ8pxd_v18 -s8:2 M. Mahoney, K. Orav et al."/>
    <hyperlink ref="A597" r:id="rId840"/>
    <hyperlink ref="A675" r:id="rId841" display=".RWZ RAWZOR 0.47 beta Sachin Garg"/>
    <hyperlink ref="A187" r:id="rId842" display=".RWZ RAWZOR 0.47 beta Sachin Garg"/>
    <hyperlink ref="F446" r:id="rId843" display="PAQ 8pxd_v16-skbuild -s8:2 M. Mahoney, K. Orav et al."/>
    <hyperlink ref="F450" r:id="rId844"/>
    <hyperlink ref="F448" r:id="rId845"/>
    <hyperlink ref="F461" r:id="rId846" display=".RWZ RAWZOR (lossless) Sachin Garg 2010"/>
    <hyperlink ref="F462" r:id="rId847" display="MCM 0.3 -9 (2013) Matthieu Chartier"/>
    <hyperlink ref="F463" r:id="rId848"/>
    <hyperlink ref="F460" r:id="rId849" display="7-Zip x64 9.1.7 (0=delta:4 1=lzma:lp1:d96:fb273) Igor Pavlov"/>
    <hyperlink ref="F471" r:id="rId850" display="WinZip 16.5.10095 (ZIPX) best method"/>
    <hyperlink ref="F465" r:id="rId851" display="WinZip 16.0 - 19.0 legacy Deflate Corel Corp."/>
    <hyperlink ref="F459" r:id="rId852"/>
    <hyperlink ref="F473" r:id="rId853" display="WinAce v2.69 Final (4096 KB dict + Delta) Marcel Lemke"/>
    <hyperlink ref="F475" r:id="rId854"/>
    <hyperlink ref="F455" r:id="rId855" display="DGCA 1.00 - 1.10e (2004-2006) Shin-ichi Tsuruta"/>
    <hyperlink ref="F468" r:id="rId856"/>
    <hyperlink ref="F458" r:id="rId857"/>
    <hyperlink ref="F472" r:id="rId858"/>
    <hyperlink ref="F451" r:id="rId859" display="MCM 0.3 -9 (2013) Matthieu Chartier"/>
    <hyperlink ref="F467" r:id="rId860" display="ZSTD 0.01 (2015) Yann Collet"/>
    <hyperlink ref="F444" r:id="rId861" display="PAQ8px_v70 -7 (08.03.'16) M. Mahoney, J. Ondrus et al"/>
    <hyperlink ref="F426" r:id="rId862" display="OLYMPUS E-PM2 RAW image (.ORF)"/>
    <hyperlink ref="F440" r:id="rId863" display="NanoZip 0.09α -cc -m2g (04.11.2011) Sami Runsas"/>
    <hyperlink ref="F439" r:id="rId864"/>
    <hyperlink ref="F443" r:id="rId865"/>
    <hyperlink ref="F445" r:id="rId866" display="PAQ8pxd_v18 -s8:2 M. Mahoney, K. Orav et al."/>
    <hyperlink ref="F452" r:id="rId867"/>
    <hyperlink ref="F437" r:id="rId868" display=".RWZ RAWZOR 0.47 beta Sachin Garg"/>
    <hyperlink ref="A435" r:id="rId869" display="PAQ 8pxd_v16-skbuild -s8:2 M. Mahoney, K. Orav et al."/>
    <hyperlink ref="A444" r:id="rId870"/>
    <hyperlink ref="A472" r:id="rId871"/>
    <hyperlink ref="A463" r:id="rId872" display="NanoZip 0.09α -cc -m2g (04.11.2011) Sami Runsas"/>
    <hyperlink ref="A448" r:id="rId873" display="DGCA 1.00 - 1.10e (2004-2006) Shin-ichi Tsuruta"/>
    <hyperlink ref="A456" r:id="rId874" display="http://img.photographyblog.com/reviews/nikon_d3x/sample_images/nikon_d3x_08.nef"/>
    <hyperlink ref="A457" r:id="rId875" display="MCM 0.3 -9 (2013) Matthieu Chartier"/>
    <hyperlink ref="A465" r:id="rId876"/>
    <hyperlink ref="A467" r:id="rId877"/>
    <hyperlink ref="A451" r:id="rId878"/>
    <hyperlink ref="A469" r:id="rId879" display="7-Zip x64 9.1.7 (0=delta:4 1=lzma:lp1:d96:fb273) Igor Pavlov"/>
    <hyperlink ref="A475" r:id="rId880" display="WinZip 16.5.10095 (ZIPX) best method"/>
    <hyperlink ref="A478" r:id="rId881" display="WinZip 16.0 - 19.0 legacy Deflate Corel Corp."/>
    <hyperlink ref="A454" r:id="rId882"/>
    <hyperlink ref="A468" r:id="rId883" display="WinAce v2.69 Final (4096 KB dict + Delta) Marcel Lemke"/>
    <hyperlink ref="A470" r:id="rId884"/>
    <hyperlink ref="A452" r:id="rId885"/>
    <hyperlink ref="A459" r:id="rId886"/>
    <hyperlink ref="A474" r:id="rId887"/>
    <hyperlink ref="A446" r:id="rId888" display="MCM 0.3 -9 (2013) Matthieu Chartier"/>
    <hyperlink ref="A426" r:id="rId889" display="NIKON D3X RAW Image (.NEF)"/>
    <hyperlink ref="A434" r:id="rId890" display="PAQ8pxd_v18 -s8:2 M. Mahoney, K. Orav et al."/>
    <hyperlink ref="A453" r:id="rId891"/>
    <hyperlink ref="A437" r:id="rId892" display=".RWZ RAWZOR 0.47 beta Sachin Garg"/>
    <hyperlink ref="F315" r:id="rId893" display="PAQ 8pxd_v16-skbuild -s8:2 M. Mahoney, K. Orav et al."/>
    <hyperlink ref="F319" r:id="rId894"/>
    <hyperlink ref="F350" r:id="rId895"/>
    <hyperlink ref="F321" r:id="rId896" display="NanoZip 0.09α -cc -m2g (04.11.2011) Sami Runsas"/>
    <hyperlink ref="F316" r:id="rId897" display="DGCA 1.00 - 1.10e (2004-2006) Shin-ichi Tsuruta"/>
    <hyperlink ref="F342" r:id="rId898" display="http://img.photographyblog.com/reviews/nikon_d3x/sample_images/nikon_d3x_08.nef"/>
    <hyperlink ref="F347" r:id="rId899" display="MCM 0.3 -9 (2013) Matthieu Chartier"/>
    <hyperlink ref="F339" r:id="rId900"/>
    <hyperlink ref="F346" r:id="rId901"/>
    <hyperlink ref="F330" r:id="rId902"/>
    <hyperlink ref="F343" r:id="rId903" display="7-Zip x64 9.1.7 (0=delta:4 1=lzma:lp1:d96:fb273) Igor Pavlov"/>
    <hyperlink ref="F353" r:id="rId904" display="WinZip 16.5.10095 (ZIPX) best method"/>
    <hyperlink ref="F355" r:id="rId905" display="WinZip 16.0 - 19.0 legacy Deflate Corel Corp."/>
    <hyperlink ref="F341" r:id="rId906"/>
    <hyperlink ref="F354" r:id="rId907" display="WinAce v2.69 Final (4096 KB dict + Delta) Marcel Lemke"/>
    <hyperlink ref="F345" r:id="rId908"/>
    <hyperlink ref="F338" r:id="rId909"/>
    <hyperlink ref="F335" r:id="rId910"/>
    <hyperlink ref="F352" r:id="rId911"/>
    <hyperlink ref="F320" r:id="rId912" display="MCM 0.3 -9 (2013) Matthieu Chartier"/>
    <hyperlink ref="F304" r:id="rId913" display="LEICA SL (Typ 601) RAW Image (.DNG)"/>
    <hyperlink ref="F356" r:id="rId914" display="ZSTD 0.01 (2015) Yann Collet"/>
    <hyperlink ref="F311" r:id="rId915" display="PAQ8px_v70 -7 (08.03.'16) M. Mahoney, J. Ondrus et al"/>
    <hyperlink ref="F312" r:id="rId916" display="PAQ8pxd_v18 -s8:2 M. Mahoney, K. Orav et al."/>
    <hyperlink ref="F344" r:id="rId917"/>
    <hyperlink ref="F363" r:id="rId918" display=".RWZ RAWZOR 0.47 beta Sachin Garg"/>
    <hyperlink ref="F558" r:id="rId919" display="SIGMA DP2 RAW image (.X3F)"/>
    <hyperlink ref="F568" r:id="rId920" display="PAQ8pxd_v18 -s8:2 M. Mahoney, K. Orav et al."/>
    <hyperlink ref="F569" r:id="rId921" display="REFLATE 0c1 (2012) Eugene Shelwien"/>
    <hyperlink ref="F577" r:id="rId922" display=".RWZ RAWZOR (lossless) Sachin Garg 2010"/>
    <hyperlink ref="F588" r:id="rId923" display="CSC 3.2 -m3 -d512 (18.08.2011) Siyuan Fu"/>
    <hyperlink ref="F584" r:id="rId924" display="WinRar x64 v3.92 (4096 KB dictionary + Delta) Eugene Roshal"/>
    <hyperlink ref="F583" r:id="rId925" display="LZHAM α7r1 -m4 -d29 -t7 -e -x Rich Geldreich, Jr."/>
    <hyperlink ref="F593" r:id="rId926" display="7-Zip x64 9.1.7 (0=delta:4 1=lzma:lp1:d96:fb273) Igor Pavlov"/>
    <hyperlink ref="F575" r:id="rId927" display="WinZip 16.5.10095 (ZIPX) best method"/>
    <hyperlink ref="F595" r:id="rId928" display="WinZip 16.0 - 19.0 legacy Deflate Corel Corp."/>
    <hyperlink ref="F586" r:id="rId929" display="UHARC 0.6b -mm+ -mx 32MB Uwe Herklotz"/>
    <hyperlink ref="F599" r:id="rId930" display="WinRar x64 v3.92 (4096 KB dictionary + Delta) Eugene Roshal"/>
    <hyperlink ref="F591" r:id="rId931" display="WinAce v2.69 Final (4096 KB dict + Delta) Marcel Lemke"/>
    <hyperlink ref="F602" r:id="rId932" display="DGCA 1.00 - 1.10e (2004-2006) Shin-ichi Tsuruta"/>
    <hyperlink ref="F596" r:id="rId933" display="BSC 3.1.0 -b1024rsca -m0 -H28 -M255 I. Grebnov"/>
    <hyperlink ref="F581" r:id="rId934" display="BSC 3.1.0 -b1024pcae2 Ilya Grebnov"/>
    <hyperlink ref="F580" r:id="rId935" display="BZIP2 1.0.6 (2011) -9 Julian Seward"/>
    <hyperlink ref="F578" r:id="rId936" display="MCM 0.3 -9 (2013) Matthieu Chartier"/>
    <hyperlink ref="F590" r:id="rId937" display="ZSTD 0.01 (2015) Yann Collet"/>
    <hyperlink ref="F572" r:id="rId938" display="PAQ8px_v70 -7 (08.03.'16) M. Mahoney, J. Ondrus et al"/>
    <hyperlink ref="F603" r:id="rId939" display="PANASONIC LUMIX G5 RAW image (.RW2)"/>
    <hyperlink ref="F559" r:id="rId940" display="PreComp 0.4.3 Christian Schneider"/>
    <hyperlink ref="F587" r:id="rId941" display="PreComp 0.4.5 dev Christian Schneider"/>
    <hyperlink ref="A50" r:id="rId942" display="ZSTD 0.01 (2015) Yann Collet"/>
    <hyperlink ref="F38" r:id="rId943" display="ZSTD 0.01 (2015) Yann Collet"/>
    <hyperlink ref="F106" r:id="rId944" display="ZSTD 0.01 (2015) Yann Collet"/>
    <hyperlink ref="A107" r:id="rId945" display="ZSTD 0.01 (2015) Yann Collet"/>
    <hyperlink ref="A171" r:id="rId946" display="ZSTD 0.01 (2015) Yann Collet"/>
    <hyperlink ref="A601" r:id="rId947" display="ZSTD 0.01 (2015) Yann Collet"/>
    <hyperlink ref="A725" r:id="rId948" display="ZSTD 0.01 (2015) Yann Collet"/>
    <hyperlink ref="A797" r:id="rId949" display="ZSTD 0.01 (2015) Yann Collet"/>
    <hyperlink ref="F848" r:id="rId950" display="ZSTD 0.01 (2015) Yann Collet"/>
    <hyperlink ref="A855" r:id="rId951" display="ZSTD 0.01 (2015) Yann Collet"/>
    <hyperlink ref="A910" r:id="rId952" display="ZSTD 0.01 (2015) Yann Collet"/>
    <hyperlink ref="F908" r:id="rId953" display="ZSTD 0.01 (2015) Yann Collet"/>
    <hyperlink ref="F960" r:id="rId954" display="ZSTD 0.01 (2015) Yann Collet"/>
    <hyperlink ref="A969" r:id="rId955" display="ZSTD 0.01 (2015) Yann Collet"/>
    <hyperlink ref="A1014" r:id="rId956" display="ZSTD 0.01 (2015) Yann Collet"/>
    <hyperlink ref="F1095" r:id="rId957" display="ZSTD 0.01 (2015) Yann Collet"/>
    <hyperlink ref="A1095" r:id="rId958" display="ZSTD 0.01 (2015) Yann Collet"/>
    <hyperlink ref="A1148" r:id="rId959" display="ZSTD 0.01 (2015) Yann Collet"/>
    <hyperlink ref="A1203" r:id="rId960" display="ZSTD 0.01 (2015) Yann Collet"/>
    <hyperlink ref="F1206" r:id="rId961" display="ZSTD 0.01 (2015) Yann Collet"/>
    <hyperlink ref="F1244" r:id="rId962" display="ZSTD 0.01 (2015) Yann Collet"/>
    <hyperlink ref="A1257" r:id="rId963" display="ZSTD 0.01 (2015) Yann Collet"/>
    <hyperlink ref="A1308" r:id="rId964" display="ZSTD 0.01 (2015) Yann Collet"/>
    <hyperlink ref="F1309" r:id="rId965" display="ZSTD 0.01 (2015) Yann Collet"/>
    <hyperlink ref="F1364" r:id="rId966" display="ZSTD 0.01 (2015) Yann Collet"/>
    <hyperlink ref="A1359" r:id="rId967" display="ZSTD 0.01 (2015) Yann Collet"/>
    <hyperlink ref="A1410" r:id="rId968" display="ZSTD 0.01 (2015) Yann Collet"/>
    <hyperlink ref="F1415" r:id="rId969" display="ZSTD 0.01 (2015) Yann Collet"/>
    <hyperlink ref="A1460" r:id="rId970" display="ZSTD 0.01 (2015) Yann Collet"/>
    <hyperlink ref="F698" r:id="rId971" display="FP8_v3 -7 (2012) Jan Ondrus"/>
    <hyperlink ref="F696" r:id="rId972" display="REFLATE 0c1 (2012) Eugene Shelwien"/>
    <hyperlink ref="F700" r:id="rId973" display="PAQ8px_v70 -7 (08.03.'16) M. Mahoney, J. Ondrus et al"/>
    <hyperlink ref="F699" r:id="rId974" display="PAQ8pxd_v18 -s8:2 M. Mahoney, K. Orav et al."/>
    <hyperlink ref="F714" r:id="rId975" display="Brotli 0.5.2 -11 (2016) Google Inc."/>
    <hyperlink ref="F716" r:id="rId976" display="Packet 1.9 -mx -s -b5 -h9 Francesco Nania"/>
    <hyperlink ref="F704" r:id="rId977" display="Brotli 0.5.2 -11 (2016) Google Inc."/>
    <hyperlink ref="F717" r:id="rId978" display="Brotli 0.5.2 -11 (2016) Google Inc."/>
    <hyperlink ref="F709" r:id="rId979" display="Packet 1.9 -mx -s -b5 -h9 Francesco Nania"/>
    <hyperlink ref="F721" r:id="rId980" display="Brotli 0.5.2 -11 (2016) Google Inc."/>
    <hyperlink ref="F722" r:id="rId981" display="Packet 1.9 -mx -s -b5 -h9 Francesco Nania"/>
    <hyperlink ref="F723" r:id="rId982" display="Brotli 0.5.2 -11 (2016) Google Inc."/>
    <hyperlink ref="F726" r:id="rId983" display="Packet 1.9 -mx -s -b5 -h9 Francesco Nania"/>
    <hyperlink ref="F724" r:id="rId984" display="Brotli 0.5.2 -11 (2016) Google Inc."/>
    <hyperlink ref="F730" r:id="rId985" display="Packet 1.9 -mx -s -b5 -h9 Francesco Nania"/>
    <hyperlink ref="F745" r:id="rId986" display="Brotli 0.5.2 -11 (2016) Google Inc."/>
    <hyperlink ref="F728" r:id="rId987" display="Packet 1.9 -mx -s -b5 -h9 Francesco Nania"/>
    <hyperlink ref="F733" r:id="rId988" display="Brotli 0.5.2 -11 (2016) Google Inc."/>
    <hyperlink ref="F737" r:id="rId989" display="Packet 1.9 -mx -s -b5 -h9 Francesco Nania"/>
    <hyperlink ref="F739" r:id="rId990" display="Brotli 0.5.2 -11 (2016) Google Inc."/>
    <hyperlink ref="F738" r:id="rId991" display="Packet 1.9 -mx -s -b5 -h9 Francesco Nania"/>
    <hyperlink ref="F736" r:id="rId992" display="Brotli 0.5.2 -11 (2016) Google Inc."/>
    <hyperlink ref="F747" r:id="rId993" display="Brotli 0.5.2 -11 (2016) Google Inc."/>
    <hyperlink ref="F746" r:id="rId994" display="Packet 1.9 -mx -s -b5 -h9 Francesco Nania"/>
    <hyperlink ref="F735" r:id="rId995" display="Brotli 0.5.2 -11 (2016) Google Inc."/>
    <hyperlink ref="F725" r:id="rId996" display="Packet 1.9 -mx -s -b5 -h9 Francesco Nania"/>
    <hyperlink ref="F742" r:id="rId997" display="Brotli 0.5.2 -11 (2016) Google Inc."/>
    <hyperlink ref="F720" r:id="rId998" display="Brotli 0.5.2 -11 (2016) Google Inc."/>
    <hyperlink ref="F715" r:id="rId999" display="Packet 1.9 -mx -s -b5 -h9 Francesco Nania"/>
    <hyperlink ref="F705" r:id="rId1000" display="Brotli 0.5.2 -11 (2016) Google Inc."/>
    <hyperlink ref="F703" r:id="rId1001" display="Packet 1.9 -mx -s -b5 -h9 Francesco Nania"/>
    <hyperlink ref="F706" r:id="rId1002" display="Brotli 0.5.2 -11 (2016) Google Inc."/>
    <hyperlink ref="F743" r:id="rId1003" display="WinAce v2.69 Final (4096 KB dict + Delta) Marcel Lemke"/>
    <hyperlink ref="F731" r:id="rId1004" display="FreeARC 0.67 ultra Bulat Ziganshin "/>
    <hyperlink ref="F621" r:id="rId1005" display="SONY A7 Mark II RAW Image (.ARW)"/>
    <hyperlink ref="F644" r:id="rId1006" display="SIGMA DP2 RAW image (.X3F)"/>
    <hyperlink ref="F626" r:id="rId1007" display="REFLATE 0c1 (2012) Eugene Shelwien"/>
    <hyperlink ref="F636" r:id="rId1008" display="PPMonstr var J -m800 Dmitry Shkarin"/>
    <hyperlink ref="F645" r:id="rId1009" display=".RWZ RAWZOR (lossless) Sachin Garg 2010"/>
    <hyperlink ref="F649" r:id="rId1010" display="CSC 3.2 -m3 -d512 (18.08.2011) Siyuan Fu"/>
    <hyperlink ref="F641" r:id="rId1011" display="MCM 0.3 -9 (2013) Matthieu Chartier"/>
    <hyperlink ref="F656" r:id="rId1012" display="WinRar x64 v3.92 (4096 KB dictionary + Delta) Eugene Roshal"/>
    <hyperlink ref="F642" r:id="rId1013" display="LZHAM α7r1 -m4 -d29 -t7 -e -x Rich Geldreich, Jr."/>
    <hyperlink ref="F646" r:id="rId1014" display="7-Zip x64 9.1.7 (0=delta:4 1=lzma:lp1:d96:fb273) Igor Pavlov"/>
    <hyperlink ref="F662" r:id="rId1015" display="WinZip 16.5.10095 (ZIPX) best method"/>
    <hyperlink ref="F664" r:id="rId1016" display="UHARC 0.6b -mm+ -mx 32MB Uwe Herklotz"/>
    <hyperlink ref="F647" r:id="rId1017" display="WinRar x64 v3.92 (4096 KB dictionary + Delta) Eugene Roshal"/>
    <hyperlink ref="F654" r:id="rId1018" display="WinAce v2.69 Final (4096 KB dict + Delta) Marcel Lemke"/>
    <hyperlink ref="F653" r:id="rId1019" display="FreeARC 0.67 ultra Bulat Ziganshin "/>
    <hyperlink ref="F666" r:id="rId1020" display="DGCA 1.00 - 1.10e (2004-2006) Shin-ichi Tsuruta"/>
    <hyperlink ref="F640" r:id="rId1021" display="BSC 3.1.0 -b1024rsca -m0 -H28 -M255 I. Grebnov"/>
    <hyperlink ref="F651" r:id="rId1022" display="BZIP2 1.0.6 (2011) -9 Julian Seward"/>
    <hyperlink ref="F655" r:id="rId1023" display="MCM 0.3 -9 (2013) Matthieu Chartier"/>
    <hyperlink ref="F661" r:id="rId1024" display="ZSTD 0.01 (2015) Yann Collet"/>
    <hyperlink ref="F634" r:id="rId1025" display="PAQ8px_v70 -7 (08.03.'16) M. Mahoney, J. Ondrus et al"/>
    <hyperlink ref="F667" r:id="rId1026" display="PANASONIC LUMIX G5 RAW image (.RW2)"/>
    <hyperlink ref="F622" r:id="rId1027" display="PreComp 0.4.3 Christian Schneider"/>
    <hyperlink ref="F620" r:id="rId1028" display=".RWZ RAWZOR (lossless) Sachin Garg 2010"/>
    <hyperlink ref="F657" r:id="rId1029" display="PreComp 0.4.5 dev Christian Schneider"/>
    <hyperlink ref="F674" r:id="rId1030"/>
    <hyperlink ref="F673" r:id="rId1031" display="FLIFRAW v0 Eugene Shelwien"/>
    <hyperlink ref="F675" r:id="rId1032" display="FLIFRAW v1 Eugene Shelwien"/>
    <hyperlink ref="A637" r:id="rId1033" display="7z-ARW v0 Eugene Shelwien"/>
    <hyperlink ref="A623" r:id="rId1034" display="FLIFRAW v0 Eugene Shelwien"/>
    <hyperlink ref="A622" r:id="rId1035" display="FLIFRAW v1 Eugene Shelwien"/>
    <hyperlink ref="F1447" r:id="rId1036" display="Brotli 0.5.2 -11 (2016) Google Inc."/>
    <hyperlink ref="A1387" r:id="rId1037"/>
    <hyperlink ref="F1448" r:id="rId1038" display="Brotli 0.5.2 -11 (2016) Google Inc."/>
    <hyperlink ref="F1452" r:id="rId1039" display="WinZip 16.5.10095 (ZIPX) best method"/>
    <hyperlink ref="F1456" r:id="rId1040" display="WinZip 16.5.10095 (ZIPX) best method"/>
    <hyperlink ref="F1463" r:id="rId1041" display="WinZip 16.5.10095 (ZIPX) best method"/>
    <hyperlink ref="A1441" r:id="rId1042" display="SPDP 1.0 Martin Burtscher"/>
    <hyperlink ref="F1402" r:id="rId1043" display="SPDP 1.0 Martin Burtscher"/>
    <hyperlink ref="A1414" r:id="rId1044" display="SPDP 1.0 Martin Burtscher"/>
    <hyperlink ref="F1390" r:id="rId1045"/>
    <hyperlink ref="A1432" r:id="rId1046"/>
    <hyperlink ref="F610" r:id="rId1047" display=".RWZ RAWZOR 0.47 beta Sachin Garg"/>
    <hyperlink ref="F627" r:id="rId1048" display=".RWZ RAWZOR 0.47 beta Sachin Garg"/>
    <hyperlink ref="F41" r:id="rId1049"/>
    <hyperlink ref="F98" r:id="rId1050"/>
    <hyperlink ref="A106" r:id="rId1051"/>
    <hyperlink ref="A148" r:id="rId1052"/>
    <hyperlink ref="F327" r:id="rId1053"/>
    <hyperlink ref="A339" r:id="rId1054"/>
    <hyperlink ref="A471" r:id="rId1055"/>
    <hyperlink ref="F474" r:id="rId1056"/>
    <hyperlink ref="F573" r:id="rId1057"/>
    <hyperlink ref="A571" r:id="rId1058"/>
    <hyperlink ref="A640" r:id="rId1059"/>
    <hyperlink ref="F638" r:id="rId1060"/>
    <hyperlink ref="A720" r:id="rId1061"/>
    <hyperlink ref="F718" r:id="rId1062"/>
    <hyperlink ref="A790" r:id="rId1063"/>
    <hyperlink ref="A845" r:id="rId1064"/>
    <hyperlink ref="F844" r:id="rId1065"/>
    <hyperlink ref="A903" r:id="rId1066"/>
    <hyperlink ref="F901" r:id="rId1067"/>
    <hyperlink ref="F956" r:id="rId1068"/>
    <hyperlink ref="A955" r:id="rId1069"/>
    <hyperlink ref="A1016" r:id="rId1070"/>
    <hyperlink ref="A1067" r:id="rId1071"/>
    <hyperlink ref="F1071" r:id="rId1072"/>
    <hyperlink ref="A1121" r:id="rId1073"/>
    <hyperlink ref="A1195" r:id="rId1074"/>
    <hyperlink ref="F1191" r:id="rId1075"/>
    <hyperlink ref="A1240" r:id="rId1076"/>
    <hyperlink ref="F1232" r:id="rId1077"/>
    <hyperlink ref="A1306" r:id="rId1078"/>
    <hyperlink ref="F1295" r:id="rId1079"/>
    <hyperlink ref="F1341" r:id="rId1080"/>
    <hyperlink ref="A1350" r:id="rId1081"/>
    <hyperlink ref="A1392" r:id="rId1082"/>
    <hyperlink ref="F1384" r:id="rId1083"/>
    <hyperlink ref="A1451" r:id="rId1084"/>
    <hyperlink ref="F1435" r:id="rId1085"/>
    <hyperlink ref="F56" r:id="rId1086"/>
    <hyperlink ref="A98" r:id="rId1087"/>
    <hyperlink ref="F107" r:id="rId1088"/>
    <hyperlink ref="A151" r:id="rId1089"/>
    <hyperlink ref="F334" r:id="rId1090"/>
    <hyperlink ref="A353" r:id="rId1091"/>
    <hyperlink ref="F470" r:id="rId1092"/>
    <hyperlink ref="A458" r:id="rId1093"/>
    <hyperlink ref="A585" r:id="rId1094"/>
    <hyperlink ref="F600" r:id="rId1095"/>
    <hyperlink ref="F658" r:id="rId1096"/>
    <hyperlink ref="A664" r:id="rId1097"/>
    <hyperlink ref="A737" r:id="rId1098"/>
    <hyperlink ref="F744" r:id="rId1099"/>
    <hyperlink ref="A805" r:id="rId1100"/>
    <hyperlink ref="F854" r:id="rId1101"/>
    <hyperlink ref="A860" r:id="rId1102"/>
    <hyperlink ref="A917" r:id="rId1103"/>
    <hyperlink ref="F917" r:id="rId1104"/>
    <hyperlink ref="A968" r:id="rId1105"/>
    <hyperlink ref="F975" r:id="rId1106"/>
    <hyperlink ref="A1023" r:id="rId1107"/>
    <hyperlink ref="A1073" r:id="rId1108"/>
    <hyperlink ref="F1080" r:id="rId1109"/>
    <hyperlink ref="A1147" r:id="rId1110"/>
    <hyperlink ref="A1198" r:id="rId1111"/>
    <hyperlink ref="F1198" r:id="rId1112"/>
    <hyperlink ref="F1246" r:id="rId1113"/>
    <hyperlink ref="A1256" r:id="rId1114"/>
    <hyperlink ref="A1307" r:id="rId1115"/>
    <hyperlink ref="F1307" r:id="rId1116"/>
    <hyperlink ref="A1361" r:id="rId1117"/>
    <hyperlink ref="F1367" r:id="rId1118"/>
    <hyperlink ref="F1388" r:id="rId1119"/>
    <hyperlink ref="A1412" r:id="rId1120"/>
    <hyperlink ref="A1440" r:id="rId1121"/>
    <hyperlink ref="F1464" r:id="rId1122"/>
    <hyperlink ref="A77" r:id="rId1123"/>
    <hyperlink ref="F78" r:id="rId1124"/>
    <hyperlink ref="A146" r:id="rId1125"/>
    <hyperlink ref="A319" r:id="rId1126"/>
    <hyperlink ref="F318" r:id="rId1127"/>
    <hyperlink ref="F442" r:id="rId1128"/>
    <hyperlink ref="A443" r:id="rId1129"/>
    <hyperlink ref="A567" r:id="rId1130"/>
    <hyperlink ref="F566" r:id="rId1131"/>
    <hyperlink ref="F625" r:id="rId1132"/>
    <hyperlink ref="A633" r:id="rId1133"/>
    <hyperlink ref="F697" r:id="rId1134"/>
    <hyperlink ref="A707" r:id="rId1135"/>
    <hyperlink ref="A762" r:id="rId1136"/>
    <hyperlink ref="F829" r:id="rId1137"/>
    <hyperlink ref="A832" r:id="rId1138"/>
    <hyperlink ref="A886" r:id="rId1139"/>
    <hyperlink ref="F891" r:id="rId1140"/>
    <hyperlink ref="A945" r:id="rId1141"/>
    <hyperlink ref="F944" r:id="rId1142"/>
    <hyperlink ref="A1006" r:id="rId1143"/>
    <hyperlink ref="F1067" r:id="rId1144"/>
    <hyperlink ref="A1071" r:id="rId1145"/>
    <hyperlink ref="A1117" r:id="rId1146"/>
    <hyperlink ref="F1172" r:id="rId1147"/>
    <hyperlink ref="A1173" r:id="rId1148"/>
    <hyperlink ref="F1223" r:id="rId1149"/>
    <hyperlink ref="A1230" r:id="rId1150"/>
    <hyperlink ref="A1284" r:id="rId1151"/>
    <hyperlink ref="F1289" r:id="rId1152"/>
    <hyperlink ref="A1332" r:id="rId1153"/>
    <hyperlink ref="F1336" r:id="rId1154"/>
    <hyperlink ref="A20" r:id="rId1155"/>
    <hyperlink ref="F22" r:id="rId1156"/>
    <hyperlink ref="F27" r:id="rId1157" display="PreComp 0.4.5 dev Christian Schneider"/>
    <hyperlink ref="A79" r:id="rId1158" display="PreComp 0.4.5 dev Christian Schneider"/>
    <hyperlink ref="F86" r:id="rId1159" display="PreComp 0.4.5 dev Christian Schneider"/>
    <hyperlink ref="A163" r:id="rId1160" display="PreComp 0.4.5 dev Christian Schneider"/>
    <hyperlink ref="A350" r:id="rId1161" display="PreComp 0.4.5 dev Christian Schneider"/>
    <hyperlink ref="F351" r:id="rId1162" display="PreComp 0.4.5 dev Christian Schneider"/>
    <hyperlink ref="F438" r:id="rId1163" display="PreComp 0.4.5 dev Christian Schneider"/>
    <hyperlink ref="A473" r:id="rId1164" display="PreComp 0.4.5 dev Christian Schneider"/>
    <hyperlink ref="F582" r:id="rId1165" display="PreComp 0.4.5 dev Christian Schneider"/>
    <hyperlink ref="A592" r:id="rId1166" display="PreComp 0.4.5 dev Christian Schneider"/>
    <hyperlink ref="A658" r:id="rId1167" display="PreComp 0.4.5 dev Christian Schneider"/>
    <hyperlink ref="F660" r:id="rId1168" display="PreComp 0.4.5 dev Christian Schneider"/>
    <hyperlink ref="A698" r:id="rId1169" display="PreComp 0.4.5 dev Christian Schneider"/>
    <hyperlink ref="F732" r:id="rId1170" display="PreComp 0.4.5 dev Christian Schneider"/>
    <hyperlink ref="A767" r:id="rId1171" display="PreComp 0.4.5 dev Christian Schneider"/>
    <hyperlink ref="A828" r:id="rId1172" display="PreComp 0.4.5 dev Christian Schneider"/>
    <hyperlink ref="F863" r:id="rId1173" display="PreComp 0.4.5 dev Christian Schneider"/>
    <hyperlink ref="A923" r:id="rId1174" display="PreComp 0.4.5 dev Christian Schneider"/>
    <hyperlink ref="F924" r:id="rId1175" display="PreComp 0.4.5 dev Christian Schneider"/>
    <hyperlink ref="A976" r:id="rId1176" display="PreComp 0.4.5 dev Christian Schneider"/>
    <hyperlink ref="F980" r:id="rId1177" display="PreComp 0.4.5 dev Christian Schneider"/>
    <hyperlink ref="A1032" r:id="rId1178" display="PreComp 0.4.5 dev Christian Schneider"/>
    <hyperlink ref="A1034" r:id="rId1179" display="PreComp 0.4.5 dev Christian Schneider"/>
    <hyperlink ref="F1088" r:id="rId1180" display="PreComp 0.4.5 dev Christian Schneider"/>
    <hyperlink ref="A1089" r:id="rId1181" display="PreComp 0.4.5 dev Christian Schneider"/>
    <hyperlink ref="A1144" r:id="rId1182" display="PreComp 0.4.5 dev Christian Schneider"/>
    <hyperlink ref="F1199" r:id="rId1183" display="PreComp 0.4.5 dev Christian Schneider"/>
    <hyperlink ref="A1200" r:id="rId1184" display="PreComp 0.4.5 dev Christian Schneider"/>
    <hyperlink ref="A1219" r:id="rId1185" display="PreComp 0.4.5 dev Christian Schneider"/>
    <hyperlink ref="F1253" r:id="rId1186" display="PreComp 0.4.5 dev Christian Schneider"/>
    <hyperlink ref="A1311" r:id="rId1187" display="PreComp 0.4.5 dev Christian Schneider"/>
    <hyperlink ref="F1316" r:id="rId1188" display="PreComp 0.4.5 dev Christian Schneider"/>
    <hyperlink ref="F1361" r:id="rId1189" display="PreComp 0.4.5 dev Christian Schneider"/>
    <hyperlink ref="A1365" r:id="rId1190" display="PreComp 0.4.5 dev Christian Schneider"/>
    <hyperlink ref="F15" r:id="rId1191" display="REFLATE v1g (2016) Eugene Shelwien"/>
    <hyperlink ref="A28" r:id="rId1192" display="REFLATE v1g (2016) Eugene Shelwien"/>
    <hyperlink ref="A80" r:id="rId1193" display="REFLATE v1g (2016) Eugene Shelwien"/>
    <hyperlink ref="F89" r:id="rId1194" display="REFLATE v1g (2016) Eugene Shelwien"/>
    <hyperlink ref="A168" r:id="rId1195" display="REFLATE v1g (2016) Eugene Shelwien"/>
    <hyperlink ref="F340" r:id="rId1196" display="REFLATE v1g (2016) Eugene Shelwien"/>
    <hyperlink ref="A343" r:id="rId1197" display="REFLATE v1g (2016) Eugene Shelwien"/>
    <hyperlink ref="A464" r:id="rId1198" display="REFLATE v1g (2016) Eugene Shelwien"/>
    <hyperlink ref="F449" r:id="rId1199" display="REFLATE v1g (2016) Eugene Shelwien"/>
    <hyperlink ref="F585" r:id="rId1200" display="REFLATE v1g (2016) Eugene Shelwien"/>
    <hyperlink ref="A587" r:id="rId1201" display="REFLATE v1g (2016) Eugene Shelwien"/>
    <hyperlink ref="A646" r:id="rId1202" display="REFLATE v1g (2016) Eugene Shelwien"/>
    <hyperlink ref="F648" r:id="rId1203" display="REFLATE v1g (2016) Eugene Shelwien"/>
    <hyperlink ref="A715" r:id="rId1204" display="REFLATE v1g (2016) Eugene Shelwien"/>
    <hyperlink ref="F727" r:id="rId1205" display="REFLATE v1g (2016) Eugene Shelwien"/>
    <hyperlink ref="A768" r:id="rId1206" display="REFLATE v1g (2016) Eugene Shelwien"/>
    <hyperlink ref="A839" r:id="rId1207" display="REFLATE v1g (2016) Eugene Shelwien"/>
    <hyperlink ref="F819" r:id="rId1208" display="REFLATE v1g (2016) Eugene Shelwien"/>
    <hyperlink ref="F892" r:id="rId1209" display="REFLATE v1g (2016) Eugene Shelwien"/>
    <hyperlink ref="A887" r:id="rId1210" display="REFLATE v1g (2016) Eugene Shelwien"/>
    <hyperlink ref="A963" r:id="rId1211" display="REFLATE v1g (2016) Eugene Shelwien"/>
    <hyperlink ref="F936" r:id="rId1212" display="REFLATE v1g (2016) Eugene Shelwien"/>
    <hyperlink ref="A990" r:id="rId1213" display="REFLATE v1g (2016) Eugene Shelwien"/>
    <hyperlink ref="A1092" r:id="rId1214" display="REFLATE v1g (2016) Eugene Shelwien"/>
    <hyperlink ref="F1091" r:id="rId1215" display="REFLATE v1g (2016) Eugene Shelwien"/>
    <hyperlink ref="A1137" r:id="rId1216" display="REFLATE v1g (2016) Eugene Shelwien"/>
    <hyperlink ref="A1189" r:id="rId1217" display="REFLATE v1g (2016) Eugene Shelwien"/>
    <hyperlink ref="F1183" r:id="rId1218" display="REFLATE v1g (2016) Eugene Shelwien"/>
    <hyperlink ref="F1235" r:id="rId1219" display="REFLATE v1g (2016) Eugene Shelwien"/>
    <hyperlink ref="A1241" r:id="rId1220" display="REFLATE v1g (2016) Eugene Shelwien"/>
    <hyperlink ref="A1300" r:id="rId1221" display="REFLATE v1g (2016) Eugene Shelwien"/>
    <hyperlink ref="F1305" r:id="rId1222" display="REFLATE v1g (2016) Eugene Shelwien"/>
    <hyperlink ref="F1351" r:id="rId1223" display="REFLATE v1g (2016) Eugene Shelwien"/>
    <hyperlink ref="A1345" r:id="rId1224" display="REFLATE v1g (2016) Eugene Shelwien"/>
    <hyperlink ref="F1403" r:id="rId1225" display="REFLATE v1g (2016) Eugene Shelwien"/>
    <hyperlink ref="A1395" r:id="rId1226" display="REFLATE v1g (2016) Eugene Shelwien"/>
    <hyperlink ref="F1441" r:id="rId1227" display="REFLATE v1g (2016) Eugene Shelwien"/>
    <hyperlink ref="A1443" r:id="rId1228" display="REFLATE v1g (2016) Eugene Shelwien"/>
    <hyperlink ref="A326" r:id="rId1229" display="Emma 0.1.17 x64 preset 'images (slow)' Márcio Pais"/>
    <hyperlink ref="F326" r:id="rId1230" display="Emma 0.1.17 x64 preset 'images (slow)' Márcio Pais"/>
    <hyperlink ref="F435" r:id="rId1231" display="Emma 0.1.17 x64 preset 'images (slow)' Márcio Pais"/>
    <hyperlink ref="A440" r:id="rId1232" display="Emma 0.1.17 x64 preset 'images (slow)' Márcio Pais"/>
    <hyperlink ref="A562" r:id="rId1233" display="Emma 0.1.17 x64 preset 'images (slow)' Márcio Pais"/>
    <hyperlink ref="F562" r:id="rId1234" display="Emma 0.1.17 x64 preset 'images (slow)' Márcio Pais"/>
    <hyperlink ref="A617" r:id="rId1235" display="Emma 0.1.17 x64 preset 'images (slow)' Márcio Pais"/>
    <hyperlink ref="F633" r:id="rId1236" display="Emma 0.1.17 x64 preset 'images (slow)' Márcio Pais"/>
    <hyperlink ref="F206" r:id="rId1237" display="EMMA 0.1.23"/>
    <hyperlink ref="A191" r:id="rId1238" display="EMMA 0.1.23"/>
    <hyperlink ref="F322" r:id="rId1239" display="EMMA 0.1.23"/>
    <hyperlink ref="A438" r:id="rId1240" display="EMMA 0.1.23"/>
    <hyperlink ref="F430" r:id="rId1241" display="EMMA 0.1.23"/>
    <hyperlink ref="F561" r:id="rId1242" display="EMMA 0.1.23"/>
    <hyperlink ref="A561" r:id="rId1243" display="EMMA 0.1.23"/>
    <hyperlink ref="F615" r:id="rId1244" display="EMMA 0.1.23"/>
    <hyperlink ref="A616" r:id="rId1245" display="EMMA 0.1.23"/>
    <hyperlink ref="A305" r:id="rId1246" display="EMMA 0.1.23"/>
    <hyperlink ref="A307" r:id="rId1247"/>
    <hyperlink ref="A309" r:id="rId1248" display="PAQ8pxd_v18 -s8:2 M. Mahoney, K. Orav et al."/>
    <hyperlink ref="A304" r:id="rId1249" display="LEAF APTUS 22 RAW Image (.MOS)"/>
    <hyperlink ref="A310" r:id="rId1250" display="PAQ 8pxd_v16-skbuild -s8:2 M. Mahoney, K. Orav et al."/>
    <hyperlink ref="F256" r:id="rId1251" display="PAQ 8pxd_v16-skbuild -s8:2 M. Mahoney, K. Orav et al."/>
    <hyperlink ref="F261" r:id="rId1252"/>
    <hyperlink ref="F270" r:id="rId1253" display="NanoZip 0.09α -cc -m2g (04.11.2011) Sami Runsas"/>
    <hyperlink ref="F275" r:id="rId1254" display="http://img.photographyblog.com/reviews/canon_eos_7d/sample_images/canon_eos_7d_05.cr2"/>
    <hyperlink ref="F274" r:id="rId1255" display="CSC 3.2 -m3 -d512 (18.08.2011) Siyuan Fu"/>
    <hyperlink ref="F285" r:id="rId1256"/>
    <hyperlink ref="F279" r:id="rId1257"/>
    <hyperlink ref="F287" r:id="rId1258" display="7-Zip x64 9.1.7 (0=delta:4 1=lzma:lp1:d96:fb273) Igor Pavlov"/>
    <hyperlink ref="F295" r:id="rId1259" display="WinZip 16.0 - 19.0 legacy Deflate Corel Corp."/>
    <hyperlink ref="F268" r:id="rId1260"/>
    <hyperlink ref="F281" r:id="rId1261" display="WinAce v2.69 Final (4096 KB dict + Delta) Marcel Lemke"/>
    <hyperlink ref="F288" r:id="rId1262"/>
    <hyperlink ref="F272" r:id="rId1263"/>
    <hyperlink ref="F283" r:id="rId1264"/>
    <hyperlink ref="F292" r:id="rId1265"/>
    <hyperlink ref="F264" r:id="rId1266" display="MCM 0.3 -9 (2013) Matthieu Chartier"/>
    <hyperlink ref="F247" r:id="rId1267" display="FUJIFILM X E1 RAW image (.RAF)"/>
    <hyperlink ref="F255" r:id="rId1268" display="PAQ8pxd_v18 -s8:2 M. Mahoney, K. Orav et al."/>
    <hyperlink ref="F293" r:id="rId1269"/>
    <hyperlink ref="F257" r:id="rId1270" display=".RWZ RAWZOR 0.47 beta Sachin Garg"/>
    <hyperlink ref="F273" r:id="rId1271"/>
    <hyperlink ref="F260" r:id="rId1272"/>
    <hyperlink ref="F290" r:id="rId1273" display="PreComp 0.4.5 dev Christian Schneider"/>
    <hyperlink ref="F286" r:id="rId1274" display="REFLATE v1g (2016) Eugene Shelwien"/>
    <hyperlink ref="F254" r:id="rId1275" display="Emma 0.1.17 x64 preset 'images (slow)' Márcio Pais"/>
    <hyperlink ref="F249" r:id="rId1276" display="EMMA 0.1.23"/>
    <hyperlink ref="A252" r:id="rId1277" display="PAQ 8pxd_v16-skbuild -s8:2 M. Mahoney, K. Orav et al."/>
    <hyperlink ref="A261" r:id="rId1278"/>
    <hyperlink ref="A264" r:id="rId1279" display="NanoZip 0.09α -cc -m2g (04.11.2011) Sami Runsas"/>
    <hyperlink ref="A273" r:id="rId1280" display="http://img.photographyblog.com/reviews/canon_eos_7d/sample_images/canon_eos_7d_05.cr2"/>
    <hyperlink ref="A288" r:id="rId1281" display="CSC 3.2 -m3 -d512 (18.08.2011) Siyuan Fu"/>
    <hyperlink ref="A283" r:id="rId1282"/>
    <hyperlink ref="A277" r:id="rId1283"/>
    <hyperlink ref="A282" r:id="rId1284"/>
    <hyperlink ref="A266" r:id="rId1285"/>
    <hyperlink ref="A286" r:id="rId1286" display="7-Zip x64 9.1.7 (0=delta:4 1=lzma:lp1:d96:fb273) Igor Pavlov"/>
    <hyperlink ref="A280" r:id="rId1287" display="WinZip 16.5.10095 (ZIPX) best method"/>
    <hyperlink ref="A294" r:id="rId1288" display="WinZip 16.0 - 19.0 legacy Deflate Corel Corp."/>
    <hyperlink ref="A274" r:id="rId1289"/>
    <hyperlink ref="A293" r:id="rId1290" display="WinAce v2.69 Final (4096 KB dict + Delta) Marcel Lemke"/>
    <hyperlink ref="A287" r:id="rId1291"/>
    <hyperlink ref="A267" r:id="rId1292" display="DGCA 1.00 - 1.10e (2004-2006) Shin-ichi Tsuruta"/>
    <hyperlink ref="A272" r:id="rId1293"/>
    <hyperlink ref="A270" r:id="rId1294"/>
    <hyperlink ref="A279" r:id="rId1295"/>
    <hyperlink ref="A263" r:id="rId1296" display="MCM 0.3 -9 (2013) Matthieu Chartier"/>
    <hyperlink ref="A247" r:id="rId1297" display="FUJIFILM X E1 RAW image (.RAF)"/>
    <hyperlink ref="A251" r:id="rId1298" display="PAQ8pxd_v18 -s8:2 M. Mahoney, K. Orav et al."/>
    <hyperlink ref="A289" r:id="rId1299"/>
    <hyperlink ref="A300" r:id="rId1300" display=".RWZ RAWZOR 0.47 beta Sachin Garg"/>
    <hyperlink ref="A265" r:id="rId1301"/>
    <hyperlink ref="A292" r:id="rId1302"/>
    <hyperlink ref="A260" r:id="rId1303"/>
    <hyperlink ref="A276" r:id="rId1304" display="PreComp 0.4.5 dev Christian Schneider"/>
    <hyperlink ref="A284" r:id="rId1305" display="REFLATE v1g (2016) Eugene Shelwien"/>
    <hyperlink ref="A262" r:id="rId1306" display="Emma 0.1.17 x64 preset 'images (slow)' Márcio Pais"/>
    <hyperlink ref="A249" r:id="rId1307" display="EMMA 0.1.23"/>
    <hyperlink ref="F388" r:id="rId1308" display="PAQ 8pxd_v16-skbuild -s8:2 M. Mahoney, K. Orav et al."/>
    <hyperlink ref="F384" r:id="rId1309"/>
    <hyperlink ref="F379" r:id="rId1310"/>
    <hyperlink ref="F381" r:id="rId1311" display="NanoZip 0.09α -cc -m2g (04.11.2011) Sami Runsas"/>
    <hyperlink ref="F390" r:id="rId1312" display="DGCA 1.00 - 1.10e (2004-2006) Shin-ichi Tsuruta"/>
    <hyperlink ref="F400" r:id="rId1313" display="http://img.photographyblog.com/reviews/nikon_d3x/sample_images/nikon_d3x_08.nef"/>
    <hyperlink ref="F401" r:id="rId1314" display="MCM 0.3 -9 (2013) Matthieu Chartier"/>
    <hyperlink ref="F393" r:id="rId1315"/>
    <hyperlink ref="F404" r:id="rId1316"/>
    <hyperlink ref="F391" r:id="rId1317"/>
    <hyperlink ref="F402" r:id="rId1318" display="7-Zip x64 9.1.7 (0=delta:4 1=lzma:lp1:d96:fb273) Igor Pavlov"/>
    <hyperlink ref="F411" r:id="rId1319" display="WinZip 16.5.10095 (ZIPX) best method"/>
    <hyperlink ref="F403" r:id="rId1320" display="WinZip 16.0 - 19.0 legacy Deflate Corel Corp."/>
    <hyperlink ref="F395" r:id="rId1321"/>
    <hyperlink ref="F416" r:id="rId1322" display="WinAce v2.69 Final (4096 KB dict + Delta) Marcel Lemke"/>
    <hyperlink ref="F417" r:id="rId1323"/>
    <hyperlink ref="F410" r:id="rId1324"/>
    <hyperlink ref="F398" r:id="rId1325"/>
    <hyperlink ref="F415" r:id="rId1326"/>
    <hyperlink ref="F389" r:id="rId1327" display="MCM 0.3 -9 (2013) Matthieu Chartier"/>
    <hyperlink ref="F367" r:id="rId1328" display="NIKON D3X RAW Image (.NEF)"/>
    <hyperlink ref="F406" r:id="rId1329" display="ZSTD 0.01 (2015) Yann Collet"/>
    <hyperlink ref="F386" r:id="rId1330" display="PAQ8px_v70 -7 (08.03.'16) M. Mahoney, J. Ondrus et al"/>
    <hyperlink ref="F387" r:id="rId1331" display="PAQ8pxd_v18 -s8:2 M. Mahoney, K. Orav et al."/>
    <hyperlink ref="F407" r:id="rId1332"/>
    <hyperlink ref="F369" r:id="rId1333" display=".RWZ RAWZOR 0.47 beta Sachin Garg"/>
    <hyperlink ref="F414" r:id="rId1334"/>
    <hyperlink ref="F413" r:id="rId1335"/>
    <hyperlink ref="F383" r:id="rId1336"/>
    <hyperlink ref="F380" r:id="rId1337" display="PreComp 0.4.5 dev Christian Schneider"/>
    <hyperlink ref="F392" r:id="rId1338" display="REFLATE v1g (2016) Eugene Shelwien"/>
    <hyperlink ref="F377" r:id="rId1339" display="Emma 0.1.17 x64 preset 'images (slow)' Márcio Pais"/>
    <hyperlink ref="F372" r:id="rId1340" display="EMMA 0.1.23"/>
    <hyperlink ref="A373" r:id="rId1341" display="PAQ 8pxd_v16-skbuild -s8:2 M. Mahoney, K. Orav et al."/>
    <hyperlink ref="A379" r:id="rId1342"/>
    <hyperlink ref="A401" r:id="rId1343"/>
    <hyperlink ref="A390" r:id="rId1344" display="NanoZip 0.09α -cc -m2g (04.11.2011) Sami Runsas"/>
    <hyperlink ref="A398" r:id="rId1345" display="DGCA 1.00 - 1.10e (2004-2006) Shin-ichi Tsuruta"/>
    <hyperlink ref="A395" r:id="rId1346" display="http://img.photographyblog.com/reviews/nikon_d3x/sample_images/nikon_d3x_08.nef"/>
    <hyperlink ref="A413" r:id="rId1347" display="MCM 0.3 -9 (2013) Matthieu Chartier"/>
    <hyperlink ref="A410" r:id="rId1348"/>
    <hyperlink ref="A387" r:id="rId1349"/>
    <hyperlink ref="A405" r:id="rId1350" display="7-Zip x64 9.1.7 (0=delta:4 1=lzma:lp1:d96:fb273) Igor Pavlov"/>
    <hyperlink ref="A400" r:id="rId1351" display="WinZip 16.5.10095 (ZIPX) best method"/>
    <hyperlink ref="A415" r:id="rId1352" display="WinZip 16.0 - 19.0 legacy Deflate Corel Corp."/>
    <hyperlink ref="A396" r:id="rId1353"/>
    <hyperlink ref="A414" r:id="rId1354" display="WinAce v2.69 Final (4096 KB dict + Delta) Marcel Lemke"/>
    <hyperlink ref="A407" r:id="rId1355"/>
    <hyperlink ref="A393" r:id="rId1356"/>
    <hyperlink ref="A392" r:id="rId1357"/>
    <hyperlink ref="A399" r:id="rId1358"/>
    <hyperlink ref="A386" r:id="rId1359" display="MCM 0.3 -9 (2013) Matthieu Chartier"/>
    <hyperlink ref="A367" r:id="rId1360" display="NIKON D3X RAW Image (.NEF)"/>
    <hyperlink ref="A416" r:id="rId1361" display="ZSTD 0.01 (2015) Yann Collet"/>
    <hyperlink ref="A372" r:id="rId1362" display="PAQ8pxd_v18 -s8:2 M. Mahoney, K. Orav et al."/>
    <hyperlink ref="A404" r:id="rId1363"/>
    <hyperlink ref="A418" r:id="rId1364" display=".RWZ RAWZOR 0.47 beta Sachin Garg"/>
    <hyperlink ref="A389" r:id="rId1365"/>
    <hyperlink ref="A408" r:id="rId1366"/>
    <hyperlink ref="A378" r:id="rId1367"/>
    <hyperlink ref="A402" r:id="rId1368" display="PreComp 0.4.5 dev Christian Schneider"/>
    <hyperlink ref="A403" r:id="rId1369" display="REFLATE v1g (2016) Eugene Shelwien"/>
    <hyperlink ref="A384" r:id="rId1370" display="Emma 0.1.17 x64 preset 'images (slow)' Márcio Pais"/>
    <hyperlink ref="A383" r:id="rId1371" display="EMMA 0.1.23"/>
    <hyperlink ref="A487" r:id="rId1372" display="OLYMPUS E-PM2 RAW image (.ORF)"/>
    <hyperlink ref="A489" r:id="rId1373" display="EMMA 0.1.23"/>
    <hyperlink ref="F521" r:id="rId1374"/>
    <hyperlink ref="F518" r:id="rId1375"/>
    <hyperlink ref="F523" r:id="rId1376" display=".RWZ RAWZOR (lossless) Sachin Garg 2010"/>
    <hyperlink ref="F529" r:id="rId1377" display="MCM 0.3 -9 (2013) Matthieu Chartier"/>
    <hyperlink ref="F519" r:id="rId1378"/>
    <hyperlink ref="F526" r:id="rId1379" display="7-Zip x64 9.1.7 (0=delta:4 1=lzma:lp1:d96:fb273) Igor Pavlov"/>
    <hyperlink ref="F507" r:id="rId1380" display="WinZip 16.5.10095 (ZIPX) best method"/>
    <hyperlink ref="F539" r:id="rId1381" display="WinZip 16.0 - 19.0 legacy Deflate Corel Corp."/>
    <hyperlink ref="F536" r:id="rId1382"/>
    <hyperlink ref="F527" r:id="rId1383"/>
    <hyperlink ref="F508" r:id="rId1384" display="DGCA 1.00 - 1.10e (2004-2006) Shin-ichi Tsuruta"/>
    <hyperlink ref="F524" r:id="rId1385"/>
    <hyperlink ref="F522" r:id="rId1386"/>
    <hyperlink ref="F537" r:id="rId1387"/>
    <hyperlink ref="F511" r:id="rId1388" display="MCM 0.3 -9 (2013) Matthieu Chartier"/>
    <hyperlink ref="F499" r:id="rId1389" display="PAQ8px_v70 -7 (08.03.'16) M. Mahoney, J. Ondrus et al"/>
    <hyperlink ref="F487" r:id="rId1390" display="PANASONIC LUMIX G5 RAW image (.RW2)"/>
    <hyperlink ref="F510" r:id="rId1391" display="NanoZip 0.09α -cc -m2g (04.11.2011) Sami Runsas"/>
    <hyperlink ref="F535" r:id="rId1392"/>
    <hyperlink ref="F503" r:id="rId1393"/>
    <hyperlink ref="F504" r:id="rId1394" display=".RWZ RAWZOR (lossless) Sachin Garg 2010"/>
    <hyperlink ref="F498" r:id="rId1395" display="PAQ 8pxd_v16-skbuild -s8:2 M. Mahoney, K. Orav et al."/>
    <hyperlink ref="F495" r:id="rId1396" display="PAQ8pxd_v18 -s8:2 M. Mahoney, K. Orav et al."/>
    <hyperlink ref="F528" r:id="rId1397"/>
    <hyperlink ref="F515" r:id="rId1398"/>
    <hyperlink ref="F532" r:id="rId1399"/>
    <hyperlink ref="F502" r:id="rId1400"/>
    <hyperlink ref="F534" r:id="rId1401" display="PreComp 0.4.5 dev Christian Schneider"/>
    <hyperlink ref="F520" r:id="rId1402" display="REFLATE v1g (2016) Eugene Shelwien"/>
    <hyperlink ref="F490" r:id="rId1403" display="Emma 0.1.17 x64 preset 'images (slow)' Márcio Pais"/>
    <hyperlink ref="F489" r:id="rId1404" display="EMMA 0.1.23"/>
    <hyperlink ref="F540" r:id="rId1405" display="FreeARC 0.67 ultra Bulat Ziganshin "/>
    <hyperlink ref="F546" r:id="rId1406" display="ZSTD 0.01 (2015) Yann Collet"/>
    <hyperlink ref="F203" r:id="rId1407" display="Emma 0.1.17 x64 preset 'images (slow)' Márcio Pais"/>
    <hyperlink ref="F199" r:id="rId1408" display="packMP3 1.0c (2012) Matthias Stirner"/>
    <hyperlink ref="F198" r:id="rId1409"/>
    <hyperlink ref="F202" r:id="rId1410" display="PAQ8pxd_v18 -s8:2 M. Mahoney, K. Orav et al."/>
    <hyperlink ref="F193" r:id="rId1411" display="PAQ 8pxd_v16-skbuild -s8:2 M. Mahoney, K. Orav et al."/>
    <hyperlink ref="F192" r:id="rId1412" display="PAQ8pxd_v18 -s8:2 M. Mahoney, K. Orav et al."/>
    <hyperlink ref="A196" r:id="rId1413" display="PAQ8pxd_v18 -s8:2 M. Mahoney, K. Orav et al."/>
    <hyperlink ref="F271" r:id="rId1414"/>
    <hyperlink ref="F291" r:id="rId1415"/>
    <hyperlink ref="F289" r:id="rId1416" display="WinZip 16.5.10095 (ZIPX) best method"/>
    <hyperlink ref="A498" r:id="rId1417" display="OLYMPUS E-PM2 RAW image (.ORF)"/>
    <hyperlink ref="A530" r:id="rId1418" display="EMMA 0.1.23"/>
    <hyperlink ref="A520" r:id="rId1419" display="REFLATE 0c1 (2012) Eugene Shelwien"/>
    <hyperlink ref="A517" r:id="rId1420" display="PPMonstr var J -m800 Dmitry Shkarin"/>
    <hyperlink ref="A515" r:id="rId1421" display=".RWZ RAWZOR (lossless) Sachin Garg 2010"/>
    <hyperlink ref="A536" r:id="rId1422" display="WinRar x64 v3.92 (4096 KB dictionary + Delta) Eugene Roshal"/>
    <hyperlink ref="A535" r:id="rId1423" display="LZHAM α7r1 -m4 -d29 -t7 -e -x Rich Geldreich, Jr."/>
    <hyperlink ref="A532" r:id="rId1424" display="7-Zip x64 9.1.7 (0=delta:4 1=lzma:lp1:d96:fb273) Igor Pavlov"/>
    <hyperlink ref="A539" r:id="rId1425" display="WinZip 16.5.10095 (ZIPX) best method"/>
    <hyperlink ref="A513" r:id="rId1426" display="WinZip 16.0 - 19.0 legacy Deflate Corel Corp."/>
    <hyperlink ref="A538" r:id="rId1427" display="UHARC 0.6b -mm+ -mx 32MB Uwe Herklotz"/>
    <hyperlink ref="A534" r:id="rId1428"/>
    <hyperlink ref="A510" r:id="rId1429" display="DGCA 1.00 - 1.10e (2004-2006) Shin-ichi Tsuruta"/>
    <hyperlink ref="A518" r:id="rId1430"/>
    <hyperlink ref="A523" r:id="rId1431"/>
    <hyperlink ref="A527" r:id="rId1432"/>
    <hyperlink ref="A507" r:id="rId1433" display="MCM 0.3 -9 (2013) Matthieu Chartier"/>
    <hyperlink ref="A540" r:id="rId1434" display="PAQ8px_v70 -7 (08.03.'16) M. Mahoney, J. Ondrus et al"/>
    <hyperlink ref="A500" r:id="rId1435" display="PAQ8px_v70 -7 (08.03.'16) M. Mahoney, J. Ondrus et al"/>
    <hyperlink ref="A509" r:id="rId1436" display="NanoZip 0.09α -cc -m2g (04.11.2011) Sami Runsas"/>
    <hyperlink ref="A526" r:id="rId1437"/>
    <hyperlink ref="A505" r:id="rId1438"/>
    <hyperlink ref="A497" r:id="rId1439" display=".RWZ RAWZOR (lossless) Sachin Garg 2010"/>
    <hyperlink ref="A514" r:id="rId1440" display="PAQ 8pxd_v16-skbuild -s8:2 M. Mahoney, K. Orav et al."/>
    <hyperlink ref="A492" r:id="rId1441" display="Packet 1.9 -mx -s -b5 -h9 Francesco Nania"/>
    <hyperlink ref="A511" r:id="rId1442" display="ZSTD 0.01 (2015) Yann Collet"/>
    <hyperlink ref="A533" r:id="rId1443" display="ZCM 0.93 [64-bit] -m8 -r -s (2014) Francesco Nania"/>
    <hyperlink ref="A504" r:id="rId1444" display="WinRar 4.20 (best, auto 4MB + delta) Eugene Roshal"/>
    <hyperlink ref="A525" r:id="rId1445" display="FP8_v4 -8 (12.03.2016) Jan Ondrus"/>
    <hyperlink ref="A531" r:id="rId1446" display="PreComp 0.4.5 dev Christian Schneider"/>
    <hyperlink ref="A490" r:id="rId1447" display="REFLATE v1g (2016) Eugene Shelwien"/>
    <hyperlink ref="F237" r:id="rId1448" display="Emma 0.1.17 x64 preset 'images (slow)' Márcio Pais"/>
    <hyperlink ref="F201" r:id="rId1449" display="PAQ 8pxd_v16-skbuild -s8:2 M. Mahoney, K. Orav et al."/>
    <hyperlink ref="F212" r:id="rId1450" display="PAQ 8pxd_v16-skbuild -s8:2 M. Mahoney, K. Orav et al."/>
    <hyperlink ref="F207" r:id="rId1451" display="BSC 3.1.0 -b1024pcae2 Ilya Grebnov"/>
    <hyperlink ref="F209" r:id="rId1452" display="http://img.photographyblog.com/reviews/canon_eos_7d/sample_images/canon_eos_7d_05.cr2"/>
    <hyperlink ref="F208" r:id="rId1453" display="PreComp 0.4.5 dev Christian Schneider"/>
    <hyperlink ref="F213" r:id="rId1454" display="PreComp 0.4.3 Christian Schneider"/>
    <hyperlink ref="F214" r:id="rId1455" display="LZHAM α7r1 -m4 -d29 -t7 -e -x Rich Geldreich, Jr."/>
    <hyperlink ref="F215" r:id="rId1456" display="REFLATE v1g (2016) Eugene Shelwien"/>
    <hyperlink ref="F223" r:id="rId1457" display="Brotli 0.5.2 -11 (2016) Google Inc."/>
    <hyperlink ref="F226" r:id="rId1458" display="WinZip 16.5.10095 (ZIPX) best method"/>
    <hyperlink ref="F227" r:id="rId1459" display="FreeARC 0.67 ultra Bulat Ziganshin "/>
    <hyperlink ref="F225" r:id="rId1460" display="Packet 1.9 -mx -s -b5 -h9 Francesco Nania"/>
    <hyperlink ref="F228" r:id="rId1461" display="WinRar x64 v3.92 (4096 KB dictionary + Delta) Eugene Roshal"/>
    <hyperlink ref="F218" r:id="rId1462" display="WinAce v2.69 Final (4096 KB dict + Delta) Marcel Lemke"/>
    <hyperlink ref="F219" r:id="rId1463" display=".RWZ RAWZOR 0.47 beta Sachin Garg"/>
    <hyperlink ref="F221" r:id="rId1464" display="PPMonstr var J -m800 Dmitry Shkarin"/>
    <hyperlink ref="F229" r:id="rId1465" display="WinRar x64 v3.92 (4096 KB dictionary + Delta) Eugene Roshal"/>
    <hyperlink ref="F230" r:id="rId1466" display="7-Zip x64 9.1.7 (0=delta:4 1=lzma:lp1:d96:fb273) Igor Pavlov"/>
    <hyperlink ref="F231" r:id="rId1467" display="WinZip 16.0 - 19.0 legacy Deflate Corel Corp."/>
    <hyperlink ref="F234" r:id="rId1468" display="FreeARC 0.67 ultra Bulat Ziganshin "/>
    <hyperlink ref="F232" r:id="rId1469" display="BSC 3.1.0 -b1024rsca -m0 -H28 -M255 I. Grebnov"/>
    <hyperlink ref="F222" r:id="rId1470" display="NanoZip 0.09α -cc -m2g (04.11.2011) Sami Runsas"/>
    <hyperlink ref="F235" r:id="rId1471" display="FP8_v3 -7 (2012) Jan Ondrus"/>
    <hyperlink ref="F236" r:id="rId1472" display="PAQ 8pxd_v16-skbuild -s8:2 M. Mahoney, K. Orav et al."/>
    <hyperlink ref="F187" r:id="rId1473" display="Packet 1.9 -mx -s -b5 -h9 Francesco Nania"/>
    <hyperlink ref="A199" r:id="rId1474" display="Emma 0.1.17 x64 preset 'images (slow)' Márcio Pais"/>
    <hyperlink ref="A204" r:id="rId1475" display="packMP3 1.0c (2012) Matthias Stirner"/>
    <hyperlink ref="A205" r:id="rId1476" display="FP8_v4 -8 (12.03.2016) Jan Ondrus"/>
    <hyperlink ref="A208" r:id="rId1477" display="PAQ8pxd_v18 -s8:2 M. Mahoney, K. Orav et al."/>
    <hyperlink ref="A237" r:id="rId1478" display="PAQ 8pxd_v16-skbuild -s8:2 M. Mahoney, K. Orav et al."/>
    <hyperlink ref="A203" r:id="rId1479" display="PAQ8pxd_v18 -s8:2 M. Mahoney, K. Orav et al."/>
    <hyperlink ref="A200" r:id="rId1480" display="Brotli 0.5.2 -11 (2016) Google Inc."/>
    <hyperlink ref="A201" r:id="rId1481" display="OLYMPUS E-PM2 RAW image (.ORF)"/>
    <hyperlink ref="A216" r:id="rId1482" display=".RWZ RAWZOR (lossless) Sachin Garg 2010"/>
    <hyperlink ref="A210" r:id="rId1483" display="MCM 0.3 -9 (2013) Matthieu Chartier"/>
    <hyperlink ref="A218" r:id="rId1484" display="WinRar x64 v3.92 (4096 KB dictionary + Delta) Eugene Roshal"/>
    <hyperlink ref="A231" r:id="rId1485" display="LZHAM α7r1 -m4 -d29 -t7 -e -x Rich Geldreich, Jr."/>
    <hyperlink ref="A234" r:id="rId1486" display="7-Zip x64 9.1.7 (0=delta:4 1=lzma:lp1:d96:fb273) Igor Pavlov"/>
    <hyperlink ref="A219" r:id="rId1487" display="WinZip 16.5.10095 (ZIPX) best method"/>
    <hyperlink ref="A211" r:id="rId1488" display="WinZip 16.0 - 19.0 legacy Deflate Corel Corp."/>
    <hyperlink ref="A207" r:id="rId1489" display="UHARC 0.6b -mm+ -mx 32MB Uwe Herklotz"/>
    <hyperlink ref="A206" r:id="rId1490" display="DGCA 1.00 - 1.10e (2004-2006) Shin-ichi Tsuruta"/>
    <hyperlink ref="A228" r:id="rId1491" display="BSC 3.1.0 -b1024rsca -m0 -H28 -M255 I. Grebnov"/>
    <hyperlink ref="A220" r:id="rId1492" display="BSC 3.1.0 -b1024pcae2 Ilya Grebnov"/>
    <hyperlink ref="A215" r:id="rId1493" display="BZIP2 1.0.6 (2011) -9 Julian Seward"/>
    <hyperlink ref="A214" r:id="rId1494" display="MCM 0.3 -9 (2013) Matthieu Chartier"/>
    <hyperlink ref="A223" r:id="rId1495" display="FP8_v3 -7 (2012) Jan Ondrus"/>
    <hyperlink ref="A221" r:id="rId1496" display=".RWZ RAWZOR (lossless) Sachin Garg 2010"/>
    <hyperlink ref="A232" r:id="rId1497" display="PAQ 8pxd_v16-skbuild -s8:2 M. Mahoney, K. Orav et al."/>
    <hyperlink ref="A222" r:id="rId1498" display="PAQ8pxd_v18 -s8:2 M. Mahoney, K. Orav et al."/>
    <hyperlink ref="A235" r:id="rId1499"/>
    <hyperlink ref="A227" r:id="rId1500" display="WinRar 5.20 x64 (1GB + filter) Eugene Roshal"/>
    <hyperlink ref="A226" r:id="rId1501" display="ZCM 0.93 [64-bit] -m8 -r -s (2014) Francesco Nania"/>
    <hyperlink ref="A229" r:id="rId1502" display="WinRar 4.20 (best, auto 4MB + delta) Eugene Roshal"/>
    <hyperlink ref="A236" r:id="rId1503" display="FP8_v4 -8 (12.03.2016) Jan Ondrus"/>
    <hyperlink ref="F266" r:id="rId1504" display="DGCA 1.00 - 1.10e (2004-2006) Shin-ichi Tsuruta"/>
    <hyperlink ref="F224" r:id="rId1505" display="WinRar 5.20 x64 (1GB + filter) Eugene Roshal"/>
    <hyperlink ref="F278" r:id="rId1506" display="WinRar 5.20 x64 (1GB + filter) Eugene Roshal"/>
    <hyperlink ref="A291" r:id="rId1507" display="WinRar 5.20 x64 (1GB + filter) Eugene Roshal"/>
    <hyperlink ref="F333" r:id="rId1508" display="WinRar 5.20 x64 (1GB + filter) Eugene Roshal"/>
    <hyperlink ref="A355" r:id="rId1509" display="WinRar 5.20 x64 (1GB + filter) Eugene Roshal"/>
    <hyperlink ref="A411" r:id="rId1510" display="WinRar 5.20 x64 (1GB + filter) Eugene Roshal"/>
    <hyperlink ref="F412" r:id="rId1511" display="WinRar 5.20 x64 (1GB + filter) Eugene Roshal"/>
    <hyperlink ref="F469" r:id="rId1512" display="WinRar 5.20 x64 (1GB + filter) Eugene Roshal"/>
    <hyperlink ref="A460" r:id="rId1513" display="WinRar 5.20 x64 (1GB + filter) Eugene Roshal"/>
    <hyperlink ref="A524" r:id="rId1514" display="WinRar 5.20 x64 (1GB + filter) Eugene Roshal"/>
    <hyperlink ref="F531" r:id="rId1515" display="WinRar 5.20 x64 (1GB + filter) Eugene Roshal"/>
    <hyperlink ref="A594" r:id="rId1516" display="WinRar 5.20 x64 (1GB + filter) Eugene Roshal"/>
    <hyperlink ref="F601" r:id="rId1517" display="WinRar 5.20 x64 (1GB + filter) Eugene Roshal"/>
    <hyperlink ref="F659" r:id="rId1518" display="WinRar 5.20 x64 (1GB + filter) Eugene Roshal"/>
    <hyperlink ref="A667" r:id="rId1519" display="WinRar 5.20 x64 (1GB + filter) Eugene Roshal"/>
    <hyperlink ref="F598" r:id="rId1520" display="ZSTD 0.01 (2015) Yann Collet"/>
    <hyperlink ref="A537" r:id="rId1521" display="ZSTD 0.01 (2015) Yann Collet"/>
    <hyperlink ref="F538" r:id="rId1522" display="ZSTD 0.01 (2015) Yann Collet"/>
    <hyperlink ref="F466" r:id="rId1523" display="ZSTD 0.01 (2015) Yann Collet"/>
    <hyperlink ref="A477" r:id="rId1524" display="ZSTD 0.01 (2015) Yann Collet"/>
    <hyperlink ref="A412" r:id="rId1525" display="ZSTD 0.01 (2015) Yann Collet"/>
    <hyperlink ref="F405" r:id="rId1526" display="ZSTD 0.01 (2015) Yann Collet"/>
    <hyperlink ref="F349" r:id="rId1527" display="ZSTD 0.01 (2015) Yann Collet"/>
    <hyperlink ref="A356" r:id="rId1528" display="ZSTD 0.01 (2015) Yann Collet"/>
    <hyperlink ref="A290" r:id="rId1529" display="ZSTD 0.01 (2015) Yann Collet"/>
    <hyperlink ref="F294" r:id="rId1530" display="ZSTD 0.01 (2015) Yann Collet"/>
    <hyperlink ref="F233" r:id="rId1531" display="ZSTD 0.01 (2015) Yann Collet"/>
    <hyperlink ref="A233" r:id="rId1532" display="ZSTD 0.01 (2015) Yann Collet"/>
    <hyperlink ref="A663" r:id="rId1533" display="ZSTD 0.01 (2015) Yann Collet"/>
    <hyperlink ref="F665" r:id="rId1534" display="ZSTD 0.01 (2015) Yann Collet"/>
    <hyperlink ref="A224" r:id="rId1535" display="PPMonstr var J -m800 Dmitry Shkarin"/>
    <hyperlink ref="F216" r:id="rId1536"/>
    <hyperlink ref="A238" r:id="rId1537"/>
    <hyperlink ref="A275" r:id="rId1538"/>
    <hyperlink ref="F277" r:id="rId1539"/>
    <hyperlink ref="F348" r:id="rId1540"/>
    <hyperlink ref="A333" r:id="rId1541"/>
    <hyperlink ref="A409" r:id="rId1542"/>
    <hyperlink ref="F418" r:id="rId1543"/>
    <hyperlink ref="F477" r:id="rId1544"/>
    <hyperlink ref="A449" r:id="rId1545"/>
    <hyperlink ref="A522" r:id="rId1546"/>
    <hyperlink ref="F533" r:id="rId1547"/>
    <hyperlink ref="F589" r:id="rId1548"/>
    <hyperlink ref="A586" r:id="rId1549"/>
    <hyperlink ref="A654" r:id="rId1550"/>
    <hyperlink ref="F643" r:id="rId1551"/>
    <hyperlink ref="A285" r:id="rId1552" display="PPMonstr var J -m800 Dmitry Shkarin"/>
    <hyperlink ref="F282" r:id="rId1553" display="PPMonstr var J -m800 Dmitry Shkarin"/>
    <hyperlink ref="F332" r:id="rId1554" display="PPMonstr var J -m800 Dmitry Shkarin"/>
    <hyperlink ref="A354" r:id="rId1555" display="PPMonstr var J -m800 Dmitry Shkarin"/>
    <hyperlink ref="A406" r:id="rId1556" display="PPMonstr var J -m800 Dmitry Shkarin"/>
    <hyperlink ref="F399" r:id="rId1557" display="PPMonstr var J -m800 Dmitry Shkarin"/>
    <hyperlink ref="F457" r:id="rId1558" display="PPMonstr var J -m800 Dmitry Shkarin"/>
    <hyperlink ref="A476" r:id="rId1559" display="PPMonstr var J -m800 Dmitry Shkarin"/>
    <hyperlink ref="A529" r:id="rId1560" display="PPMonstr var J -m800 Dmitry Shkarin"/>
    <hyperlink ref="F530" r:id="rId1561" display="PPMonstr var J -m800 Dmitry Shkarin"/>
    <hyperlink ref="F597" r:id="rId1562" display="PPMonstr var J -m800 Dmitry Shkarin"/>
    <hyperlink ref="A600" r:id="rId1563" display="PPMonstr var J -m800 Dmitry Shkarin"/>
    <hyperlink ref="A661" r:id="rId1564" display="PPMonstr var J -m800 Dmitry Shkarin"/>
    <hyperlink ref="F663" r:id="rId1565" display="PPMonstr var J -m800 Dmitry Shkarin"/>
    <hyperlink ref="A1281" r:id="rId1566"/>
    <hyperlink ref="F1331" r:id="rId1567"/>
    <hyperlink ref="A1337" r:id="rId1568"/>
    <hyperlink ref="A254" r:id="rId1569"/>
    <hyperlink ref="F1284" r:id="rId1570"/>
    <hyperlink ref="F1221" r:id="rId1571"/>
    <hyperlink ref="A1226" r:id="rId1572"/>
    <hyperlink ref="F1173" r:id="rId1573"/>
    <hyperlink ref="A1175" r:id="rId1574"/>
    <hyperlink ref="A1110" r:id="rId1575"/>
    <hyperlink ref="F1060" r:id="rId1576"/>
    <hyperlink ref="A1058" r:id="rId1577"/>
    <hyperlink ref="A998" r:id="rId1578"/>
    <hyperlink ref="F945" r:id="rId1579"/>
    <hyperlink ref="A942" r:id="rId1580"/>
    <hyperlink ref="A882" r:id="rId1581"/>
    <hyperlink ref="F880" r:id="rId1582"/>
    <hyperlink ref="F825" r:id="rId1583"/>
    <hyperlink ref="A823" r:id="rId1584"/>
    <hyperlink ref="A757" r:id="rId1585"/>
    <hyperlink ref="A689" r:id="rId1586"/>
    <hyperlink ref="F691" r:id="rId1587"/>
    <hyperlink ref="F617" r:id="rId1588"/>
    <hyperlink ref="A624" r:id="rId1589"/>
    <hyperlink ref="A553" r:id="rId1590"/>
    <hyperlink ref="F552" r:id="rId1591"/>
    <hyperlink ref="F492" r:id="rId1592"/>
    <hyperlink ref="A494" r:id="rId1593"/>
    <hyperlink ref="A428" r:id="rId1594"/>
    <hyperlink ref="F436" r:id="rId1595"/>
    <hyperlink ref="F378" r:id="rId1596"/>
    <hyperlink ref="A369" r:id="rId1597"/>
    <hyperlink ref="A308" r:id="rId1598"/>
    <hyperlink ref="F306" r:id="rId1599"/>
    <hyperlink ref="F250" r:id="rId1600"/>
    <hyperlink ref="A250" r:id="rId1601"/>
    <hyperlink ref="A194" r:id="rId1602"/>
    <hyperlink ref="F188" r:id="rId1603"/>
    <hyperlink ref="A135" r:id="rId1604"/>
    <hyperlink ref="F73" r:id="rId1605"/>
    <hyperlink ref="A75" r:id="rId1606"/>
    <hyperlink ref="F21" r:id="rId1607"/>
    <hyperlink ref="A15" r:id="rId1608"/>
    <hyperlink ref="A129" r:id="rId1609"/>
    <hyperlink ref="F251" r:id="rId1610"/>
    <hyperlink ref="F308" r:id="rId1611"/>
    <hyperlink ref="A312" r:id="rId1612"/>
    <hyperlink ref="A371" r:id="rId1613"/>
    <hyperlink ref="F375" r:id="rId1614"/>
    <hyperlink ref="F433" r:id="rId1615"/>
    <hyperlink ref="A430" r:id="rId1616"/>
    <hyperlink ref="A496" r:id="rId1617"/>
    <hyperlink ref="F494" r:id="rId1618"/>
    <hyperlink ref="F557" r:id="rId1619"/>
    <hyperlink ref="A552" r:id="rId1620"/>
    <hyperlink ref="A626" r:id="rId1621"/>
    <hyperlink ref="F619" r:id="rId1622"/>
    <hyperlink ref="F689" r:id="rId1623"/>
    <hyperlink ref="A690" r:id="rId1624"/>
    <hyperlink ref="A759" r:id="rId1625"/>
    <hyperlink ref="A820" r:id="rId1626"/>
    <hyperlink ref="F823" r:id="rId1627"/>
    <hyperlink ref="F885" r:id="rId1628"/>
    <hyperlink ref="A881" r:id="rId1629"/>
    <hyperlink ref="A937" r:id="rId1630"/>
    <hyperlink ref="F939" r:id="rId1631"/>
    <hyperlink ref="A995" r:id="rId1632"/>
    <hyperlink ref="A1060" r:id="rId1633"/>
    <hyperlink ref="F1062" r:id="rId1634"/>
    <hyperlink ref="A1112" r:id="rId1635"/>
    <hyperlink ref="A1167" r:id="rId1636"/>
    <hyperlink ref="F1167" r:id="rId1637"/>
    <hyperlink ref="F1217" r:id="rId1638"/>
    <hyperlink ref="A1223" r:id="rId1639"/>
    <hyperlink ref="A1278" r:id="rId1640"/>
    <hyperlink ref="F1279" r:id="rId1641"/>
    <hyperlink ref="F1330" r:id="rId1642"/>
    <hyperlink ref="A1333" r:id="rId1643"/>
    <hyperlink ref="A193" r:id="rId1644"/>
    <hyperlink ref="F191" r:id="rId1645"/>
    <hyperlink ref="A130" r:id="rId1646"/>
    <hyperlink ref="A72" r:id="rId1647"/>
    <hyperlink ref="F72" r:id="rId1648"/>
    <hyperlink ref="F17" r:id="rId1649"/>
    <hyperlink ref="A17" r:id="rId1650"/>
    <hyperlink ref="A225" r:id="rId1651" display="PackRAW 0.2 (09.07.2017) "/>
    <hyperlink ref="F186" r:id="rId1652" display="PackRAW 0.2 (09.07.2017) "/>
    <hyperlink ref="F262" r:id="rId1653" display="PackRAW 0.2 (09.07.2017) "/>
    <hyperlink ref="A255" r:id="rId1654" display="PackRAW 0.2 (09.07.2017) "/>
    <hyperlink ref="F362" r:id="rId1655" display="PackRAW 0.2 (09.07.2017) "/>
    <hyperlink ref="A317" r:id="rId1656" display="PackRAW 0.2 (09.07.2017) "/>
    <hyperlink ref="A382" r:id="rId1657" display="PackRAW 0.2 (09.07.2017) "/>
    <hyperlink ref="F408" r:id="rId1658" display="PackRAW 0.2 (09.07.2017) "/>
    <hyperlink ref="F483" r:id="rId1659" display="PackRAW 0.2 (09.07.2017) "/>
    <hyperlink ref="A442" r:id="rId1660" display="PackRAW 0.2 (09.07.2017) "/>
    <hyperlink ref="A493" r:id="rId1661" display="PackRAW 0.2 (09.07.2017) "/>
    <hyperlink ref="F491" r:id="rId1662" display="PackRAW 0.2 (09.07.2017) "/>
    <hyperlink ref="F609" r:id="rId1663" display="PackRAW 0.2 (09.07.2017) "/>
    <hyperlink ref="A572" r:id="rId1664" display="PackRAW 0.2 (09.07.2017) "/>
    <hyperlink ref="A621" r:id="rId1665" display="PackRAW 0.2 (09.07.2017) "/>
    <hyperlink ref="F629" r:id="rId1666" display="PackRAW 0.2 (09.07.2017) "/>
    <hyperlink ref="A19" r:id="rId1667"/>
    <hyperlink ref="A30" r:id="rId1668" display="Emma 0.1.24 x64 preset 'best' Márcio Pais"/>
    <hyperlink ref="A26" r:id="rId1669" display="PowerArchiver 17.00.90 .pa opt. strong extreme"/>
    <hyperlink ref="F23" r:id="rId1670"/>
    <hyperlink ref="F29" r:id="rId1671" display="Emma 0.1.24 x64 preset 'best' Márcio Pais"/>
    <hyperlink ref="F18" r:id="rId1672" display="PowerArchiver 17.00.90 .pa opt. strong extreme"/>
    <hyperlink ref="A76" r:id="rId1673"/>
    <hyperlink ref="A85" r:id="rId1674" display="Emma 0.1.24 x64 preset 'best' Márcio Pais"/>
    <hyperlink ref="A82" r:id="rId1675" display="PowerArchiver 17.00.90 .pa opt. strong extreme"/>
    <hyperlink ref="F74" r:id="rId1676"/>
    <hyperlink ref="F75" r:id="rId1677" display="Emma 0.1.24 x64 preset 'best' Márcio Pais"/>
    <hyperlink ref="F90" r:id="rId1678" display="PowerArchiver 17.00.90 .pa opt. strong extreme"/>
    <hyperlink ref="A131" r:id="rId1679"/>
    <hyperlink ref="A125" r:id="rId1680" display="Emma 0.1.24 x64 preset 'best' Márcio Pais"/>
    <hyperlink ref="A158" r:id="rId1681" display="PowerArchiver 17.00.90 .pa opt. strong extreme"/>
    <hyperlink ref="A195" r:id="rId1682"/>
    <hyperlink ref="A188" r:id="rId1683" display="Emma 0.1.24 x64 preset 'best' Márcio Pais"/>
    <hyperlink ref="A230" r:id="rId1684" display="PowerArchiver 17.00.90 .pa opt. strong extreme"/>
    <hyperlink ref="F197" r:id="rId1685"/>
    <hyperlink ref="F189" r:id="rId1686" display="Emma 0.1.24 x64 preset 'best' Márcio Pais"/>
    <hyperlink ref="F220" r:id="rId1687" display="PowerArchiver 17.00.90 .pa opt. strong extreme"/>
    <hyperlink ref="A259" r:id="rId1688"/>
    <hyperlink ref="A248" r:id="rId1689" display="Emma 0.1.24 x64 preset 'best' Márcio Pais"/>
    <hyperlink ref="A271" r:id="rId1690" display="PowerArchiver 17.00.90 .pa opt. strong extreme"/>
    <hyperlink ref="F259" r:id="rId1691"/>
    <hyperlink ref="F248" r:id="rId1692" display="Emma 0.1.24 x64 preset 'best' Márcio Pais"/>
    <hyperlink ref="F284" r:id="rId1693" display="PowerArchiver 17.00.90 .pa opt. strong extreme"/>
    <hyperlink ref="A318" r:id="rId1694"/>
    <hyperlink ref="A306" r:id="rId1695" display="Emma 0.1.24 x64 preset 'best' Márcio Pais"/>
    <hyperlink ref="A341" r:id="rId1696" display="PowerArchiver 17.00.90 .pa opt. strong extreme"/>
    <hyperlink ref="F317" r:id="rId1697"/>
    <hyperlink ref="F305" r:id="rId1698" display="Emma 0.1.24 x64 preset 'best' Márcio Pais"/>
    <hyperlink ref="F336" r:id="rId1699" display="PowerArchiver 17.00.90 .pa opt. strong extreme"/>
    <hyperlink ref="F376" r:id="rId1700"/>
    <hyperlink ref="F370" r:id="rId1701" display="Emma 0.1.24 x64 preset 'best' Márcio Pais"/>
    <hyperlink ref="F396" r:id="rId1702" display="PowerArchiver 17.00.90 .pa opt. strong extreme"/>
    <hyperlink ref="A377" r:id="rId1703"/>
    <hyperlink ref="A374" r:id="rId1704" display="Emma 0.1.24 x64 preset 'best' Márcio Pais"/>
    <hyperlink ref="A391" r:id="rId1705" display="PowerArchiver 17.00.90 .pa opt. strong extreme"/>
    <hyperlink ref="A433" r:id="rId1706"/>
    <hyperlink ref="A427" r:id="rId1707" display="Emma 0.1.24 x64 preset 'best' Márcio Pais"/>
    <hyperlink ref="A462" r:id="rId1708" display="PowerArchiver 17.00.90 .pa opt. strong extreme"/>
    <hyperlink ref="F434" r:id="rId1709"/>
    <hyperlink ref="F428" r:id="rId1710" display="Emma 0.1.24 x64 preset 'best' Márcio Pais"/>
    <hyperlink ref="F453" r:id="rId1711" display="PowerArchiver 17.00.90 .pa opt. strong extreme"/>
    <hyperlink ref="A503" r:id="rId1712"/>
    <hyperlink ref="A488" r:id="rId1713" display="Emma 0.1.24 x64 preset 'best' Márcio Pais"/>
    <hyperlink ref="A521" r:id="rId1714" display="PowerArchiver 17.00.90 .pa opt. strong extreme"/>
    <hyperlink ref="F501" r:id="rId1715"/>
    <hyperlink ref="F488" r:id="rId1716" display="Emma 0.1.24 x64 preset 'best' Márcio Pais"/>
    <hyperlink ref="F506" r:id="rId1717" display="PowerArchiver 17.00.90 .pa opt. strong extreme"/>
    <hyperlink ref="F560" r:id="rId1718"/>
    <hyperlink ref="F551" r:id="rId1719" display="Emma 0.1.24 x64 preset 'best' Márcio Pais"/>
    <hyperlink ref="F576" r:id="rId1720" display="PowerArchiver 17.00.90 .pa opt. strong extreme"/>
    <hyperlink ref="A566" r:id="rId1721"/>
    <hyperlink ref="A559" r:id="rId1722" display="Emma 0.1.24 x64 preset 'best' Márcio Pais"/>
    <hyperlink ref="A575" r:id="rId1723" display="PowerArchiver 17.00.90 .pa opt. strong extreme"/>
    <hyperlink ref="A632" r:id="rId1724"/>
    <hyperlink ref="A615" r:id="rId1725" display="Emma 0.1.24 x64 preset 'best' Márcio Pais"/>
    <hyperlink ref="A631" r:id="rId1726" display="PowerArchiver 17.00.90 .pa opt. strong extreme"/>
    <hyperlink ref="F623" r:id="rId1727"/>
    <hyperlink ref="F616" r:id="rId1728" display="Emma 0.1.24 x64 preset 'best' Márcio Pais"/>
    <hyperlink ref="F652" r:id="rId1729" display="PowerArchiver 17.00.90 .pa opt. strong extreme"/>
    <hyperlink ref="A695" r:id="rId1730"/>
    <hyperlink ref="A700" r:id="rId1731" display="Emma 0.1.24 x64 preset 'best' Márcio Pais"/>
    <hyperlink ref="A717" r:id="rId1732" display="PowerArchiver 17.00.90 .pa opt. strong extreme"/>
    <hyperlink ref="F692" r:id="rId1733"/>
    <hyperlink ref="F693" r:id="rId1734" display="Emma 0.1.24 x64 preset 'best' Márcio Pais"/>
    <hyperlink ref="F707" r:id="rId1735" display="PowerArchiver 17.00.90 .pa opt. strong extreme"/>
    <hyperlink ref="A761" r:id="rId1736"/>
    <hyperlink ref="A773" r:id="rId1737" display="Emma 0.1.24 x64 preset 'best' Márcio Pais"/>
    <hyperlink ref="A763" r:id="rId1738" display="PowerArchiver 17.00.90 .pa opt. strong extreme"/>
    <hyperlink ref="A822" r:id="rId1739"/>
    <hyperlink ref="A831" r:id="rId1740" display="Emma 0.1.24 x64 preset 'best' Márcio Pais"/>
    <hyperlink ref="A841" r:id="rId1741" display="PowerArchiver 17.00.90 .pa opt. strong extreme"/>
    <hyperlink ref="F826" r:id="rId1742"/>
    <hyperlink ref="F834" r:id="rId1743" display="Emma 0.1.24 x64 preset 'best' Márcio Pais"/>
    <hyperlink ref="F821" r:id="rId1744" display="PowerArchiver 17.00.90 .pa opt. strong extreme"/>
    <hyperlink ref="F893" r:id="rId1745"/>
    <hyperlink ref="F883" r:id="rId1746" display="Emma 0.1.24 x64 preset 'best' Márcio Pais"/>
    <hyperlink ref="F890" r:id="rId1747" display="PowerArchiver 17.00.90 .pa opt. strong extreme"/>
    <hyperlink ref="A885" r:id="rId1748"/>
    <hyperlink ref="A892" r:id="rId1749" display="Emma 0.1.24 x64 preset 'best' Márcio Pais"/>
    <hyperlink ref="A900" r:id="rId1750" display="PowerArchiver 17.00.90 .pa opt. strong extreme"/>
    <hyperlink ref="A944" r:id="rId1751"/>
    <hyperlink ref="A940" r:id="rId1752" display="Emma 0.1.24 x64 preset 'best' Márcio Pais"/>
    <hyperlink ref="A961" r:id="rId1753" display="PowerArchiver 17.00.90 .pa opt. strong extreme"/>
    <hyperlink ref="F943" r:id="rId1754"/>
    <hyperlink ref="F937" r:id="rId1755" display="Emma 0.1.24 x64 preset 'best' Márcio Pais"/>
    <hyperlink ref="F949" r:id="rId1756" display="PowerArchiver 17.00.90 .pa opt. strong extreme"/>
    <hyperlink ref="A1005" r:id="rId1757"/>
    <hyperlink ref="A993" r:id="rId1758" display="Emma 0.1.24 x64 preset 'best' Márcio Pais"/>
    <hyperlink ref="A992" r:id="rId1759" display="PowerArchiver 17.00.90 .pa opt. strong extreme"/>
    <hyperlink ref="A1070" r:id="rId1760"/>
    <hyperlink ref="A1051" r:id="rId1761" display="Emma 0.1.24 x64 preset 'best' Márcio Pais"/>
    <hyperlink ref="A1078" r:id="rId1762" display="PowerArchiver 17.00.90 .pa opt. strong extreme"/>
    <hyperlink ref="F1066" r:id="rId1763"/>
    <hyperlink ref="F1051" r:id="rId1764" display="Emma 0.1.24 x64 preset 'best' Márcio Pais"/>
    <hyperlink ref="F1076" r:id="rId1765" display="PowerArchiver 17.00.90 .pa opt. strong extreme"/>
    <hyperlink ref="A1118" r:id="rId1766"/>
    <hyperlink ref="A1105" r:id="rId1767" display="Emma 0.1.24 x64 preset 'best' Márcio Pais"/>
    <hyperlink ref="A1135" r:id="rId1768" display="PowerArchiver 17.00.90 .pa opt. strong extreme"/>
    <hyperlink ref="A1172" r:id="rId1769"/>
    <hyperlink ref="A1166" r:id="rId1770" display="Emma 0.1.24 x64 preset 'best' Márcio Pais"/>
    <hyperlink ref="A1190" r:id="rId1771" display="PowerArchiver 17.00.90 .pa opt. strong extreme"/>
    <hyperlink ref="F1171" r:id="rId1772"/>
    <hyperlink ref="F1165" r:id="rId1773" display="Emma 0.1.24 x64 preset 'best' Márcio Pais"/>
    <hyperlink ref="F1185" r:id="rId1774" display="PowerArchiver 17.00.90 .pa opt. strong extreme"/>
    <hyperlink ref="F1222" r:id="rId1775"/>
    <hyperlink ref="F1214" r:id="rId1776" display="Emma 0.1.24 x64 preset 'best' Márcio Pais"/>
    <hyperlink ref="F1237" r:id="rId1777" display="PowerArchiver 17.00.90 .pa opt. strong extreme"/>
    <hyperlink ref="A1229" r:id="rId1778"/>
    <hyperlink ref="A1221" r:id="rId1779" display="Emma 0.1.24 x64 preset 'best' Márcio Pais"/>
    <hyperlink ref="A1214" r:id="rId1780" display="PowerArchiver 17.00.90 .pa opt. strong extreme"/>
    <hyperlink ref="A1283" r:id="rId1781"/>
    <hyperlink ref="A1276" r:id="rId1782" display="Emma 0.1.24 x64 preset 'best' Márcio Pais"/>
    <hyperlink ref="A1302" r:id="rId1783" display="PowerArchiver 17.00.90 .pa opt. strong extreme"/>
    <hyperlink ref="F1288" r:id="rId1784"/>
    <hyperlink ref="F1276" r:id="rId1785" display="Emma 0.1.24 x64 preset 'best' Márcio Pais"/>
    <hyperlink ref="F1311" r:id="rId1786" display="PowerArchiver 17.00.90 .pa opt. strong extreme"/>
    <hyperlink ref="F1335" r:id="rId1787"/>
    <hyperlink ref="F1328" r:id="rId1788" display="Emma 0.1.24 x64 preset 'best' Márcio Pais"/>
    <hyperlink ref="F1349" r:id="rId1789" display="PowerArchiver 17.00.90 .pa opt. strong extreme"/>
    <hyperlink ref="A1331" r:id="rId1790"/>
    <hyperlink ref="A1327" r:id="rId1791" display="Emma 0.1.24 x64 preset 'best' Márcio Pais"/>
    <hyperlink ref="A1348" r:id="rId1792" display="PowerArchiver 17.00.90 .pa opt. strong extreme"/>
    <hyperlink ref="A1385" r:id="rId1793"/>
    <hyperlink ref="A1383" r:id="rId1794" display="Emma 0.1.24 x64 preset 'best' Márcio Pais"/>
    <hyperlink ref="A1393" r:id="rId1795" display="PowerArchiver 17.00.90 .pa opt. strong extreme"/>
    <hyperlink ref="F1396" r:id="rId1796"/>
    <hyperlink ref="F1383" r:id="rId1797" display="Emma 0.1.24 x64 preset 'best' Márcio Pais"/>
    <hyperlink ref="F1394" r:id="rId1798" display="PowerArchiver 17.00.90 .pa opt. strong extreme"/>
    <hyperlink ref="F1432" r:id="rId1799"/>
    <hyperlink ref="F1429" r:id="rId1800" display="Emma 0.1.24 x64 preset 'best' Márcio Pais"/>
    <hyperlink ref="F1442" r:id="rId1801" display="PowerArchiver 17.00.90 .pa opt. strong extreme"/>
    <hyperlink ref="A1449" r:id="rId1802"/>
    <hyperlink ref="A1426" r:id="rId1803" display="Emma 0.1.24 x64 preset 'best' Márcio Pais"/>
    <hyperlink ref="A1434" r:id="rId1804" display="PowerArchiver 17.00.90 .pa opt. strong extreme"/>
    <hyperlink ref="A691" r:id="rId1805"/>
    <hyperlink ref="F690" r:id="rId1806"/>
    <hyperlink ref="A756" r:id="rId1807"/>
    <hyperlink ref="A821" r:id="rId1808"/>
    <hyperlink ref="F824" r:id="rId1809"/>
    <hyperlink ref="F1061" r:id="rId1810"/>
    <hyperlink ref="A1113" r:id="rId1811"/>
    <hyperlink ref="A128" r:id="rId1812"/>
    <hyperlink ref="F71" r:id="rId1813"/>
    <hyperlink ref="A71" r:id="rId1814"/>
    <hyperlink ref="F20" r:id="rId1815"/>
    <hyperlink ref="A18" r:id="rId1816"/>
    <hyperlink ref="A1061" r:id="rId1817"/>
    <hyperlink ref="A46" r:id="rId1818" display="RAZOR Archiver 1.00 (2017) Christian Martelock"/>
    <hyperlink ref="F32" r:id="rId1819" display="RAZOR Archiver 1.00 (2017) Christian Martelock"/>
    <hyperlink ref="A92" r:id="rId1820" display="RAZOR Archiver 1.00 (2017) Christian Martelock"/>
    <hyperlink ref="F99" r:id="rId1821" display="RAZOR Archiver 1.00 (2017) Christian Martelock"/>
    <hyperlink ref="A136" r:id="rId1822" display="RAZOR Archiver 1.00 (2017) Christian Martelock"/>
    <hyperlink ref="A212" r:id="rId1823" display="RAZOR Archiver 1.00 (2017) Christian Martelock"/>
    <hyperlink ref="F217" r:id="rId1824" display="RAZOR Archiver 1.00 (2017) Christian Martelock"/>
    <hyperlink ref="A278" r:id="rId1825" display="RAZOR Archiver 1.00 (2017) Christian Martelock"/>
    <hyperlink ref="F269" r:id="rId1826" display="RAZOR Archiver 1.00 (2017) Christian Martelock"/>
    <hyperlink ref="F337" r:id="rId1827" display="RAZOR Archiver 1.00 (2017) Christian Martelock"/>
    <hyperlink ref="A328" r:id="rId1828" display="RAZOR Archiver 1.00 (2017) Christian Martelock"/>
    <hyperlink ref="A397" r:id="rId1829" display="RAZOR Archiver 1.00 (2017) Christian Martelock"/>
    <hyperlink ref="F397" r:id="rId1830" display="RAZOR Archiver 1.00 (2017) Christian Martelock"/>
    <hyperlink ref="F464" r:id="rId1831" display="RAZOR Archiver 1.00 (2017) Christian Martelock"/>
    <hyperlink ref="A450" r:id="rId1832" display="RAZOR Archiver 1.00 (2017) Christian Martelock"/>
    <hyperlink ref="A528" r:id="rId1833" display="RAZOR Archiver 1.00 (2017) Christian Martelock"/>
    <hyperlink ref="F516" r:id="rId1834" display="RAZOR Archiver 1.00 (2017) Christian Martelock"/>
    <hyperlink ref="F594" r:id="rId1835" display="RAZOR Archiver 1.00 (2017) Christian Martelock"/>
    <hyperlink ref="A576" r:id="rId1836" display="RAZOR Archiver 1.00 (2017) Christian Martelock"/>
    <hyperlink ref="A655" r:id="rId1837" display="RAZOR Archiver 1.00 (2017) Christian Martelock"/>
    <hyperlink ref="F628" r:id="rId1838" display="RAZOR Archiver 1.00 (2017) Christian Martelock"/>
    <hyperlink ref="F740" r:id="rId1839" display="RAZOR Archiver 1.00 (2017) Christian Martelock"/>
    <hyperlink ref="A723" r:id="rId1840" display="RAZOR Archiver 1.00 (2017) Christian Martelock"/>
    <hyperlink ref="A784" r:id="rId1841" display="RAZOR Archiver 1.00 (2017) Christian Martelock"/>
    <hyperlink ref="A851" r:id="rId1842" display="RAZOR Archiver 1.00 (2017) Christian Martelock"/>
    <hyperlink ref="F839" r:id="rId1843" display="RAZOR Archiver 1.00 (2017) Christian Martelock"/>
    <hyperlink ref="F887" r:id="rId1844" display="RAZOR Archiver 1.00 (2017) Christian Martelock"/>
    <hyperlink ref="A899" r:id="rId1845" display="RAZOR Archiver 1.00 (2017) Christian Martelock"/>
    <hyperlink ref="A950" r:id="rId1846" display="RAZOR Archiver 1.00 (2017) Christian Martelock"/>
    <hyperlink ref="F952" r:id="rId1847" display="RAZOR Archiver 1.00 (2017) Christian Martelock"/>
    <hyperlink ref="A1001" r:id="rId1848" display="RAZOR Archiver 1.00 (2017) Christian Martelock"/>
    <hyperlink ref="A1055" r:id="rId1849" display="RAZOR Archiver 1.00 (2017) Christian Martelock"/>
    <hyperlink ref="F1055" r:id="rId1850" display="RAZOR Archiver 1.00 (2017) Christian Martelock"/>
    <hyperlink ref="A1109" r:id="rId1851" display="RAZOR Archiver 1.00 (2017) Christian Martelock"/>
    <hyperlink ref="A1184" r:id="rId1852" display="RAZOR Archiver 1.00 (2017) Christian Martelock"/>
    <hyperlink ref="F1187" r:id="rId1853" display="RAZOR Archiver 1.00 (2017) Christian Martelock"/>
    <hyperlink ref="F1230" r:id="rId1854" display="RAZOR Archiver 1.00 (2017) Christian Martelock"/>
    <hyperlink ref="A1243" r:id="rId1855" display="RAZOR Archiver 1.00 (2017) Christian Martelock"/>
    <hyperlink ref="F1278" r:id="rId1856" display="RAZOR Archiver 1.00 (2017) Christian Martelock"/>
    <hyperlink ref="A1288" r:id="rId1857" display="RAZOR Archiver 1.00 (2017) Christian Martelock"/>
    <hyperlink ref="F1354" r:id="rId1858" display="RAZOR Archiver 1.00 (2017) Christian Martelock"/>
    <hyperlink ref="A1351" r:id="rId1859" display="RAZOR Archiver 1.00 (2017) Christian Martelock"/>
    <hyperlink ref="F1393" r:id="rId1860" display="RAZOR Archiver 1.00 (2017) Christian Martelock"/>
    <hyperlink ref="A1402" r:id="rId1861" display="RAZOR Archiver 1.00 (2017) Christian Martelock"/>
    <hyperlink ref="A1436" r:id="rId1862" display="RAZOR Archiver 1.00 (2017) Christian Martelock"/>
    <hyperlink ref="F1438" r:id="rId1863" display="RAZOR Archiver 1.00 (2017) Christian Martelock"/>
    <hyperlink ref="A6" location="'PDF, JPG, MP3, PNG, Installer..'!A31" display="   → proceed to topic: Documents"/>
    <hyperlink ref="A7" location="'PDF, JPG, MP3, PNG, Installer..'!A201" display="   → proceed to topic: Image Formats (Camera Raw)"/>
    <hyperlink ref="A8" location="'PDF, JPG, MP3, PNG, Installer..'!A705" display="   → proceed to topic: Image Formats (web)"/>
    <hyperlink ref="D6" location="'PDF, JPG, MP3, PNG, Installer..'!A834" display="   → proceed to topic: interactive files"/>
    <hyperlink ref="D7" location="'PDF, JPG, MP3, PNG, Installer..'!A895" display="   → proceed to topic: Installers"/>
    <hyperlink ref="D8" location="'PDF, JPG, MP3, PNG, Installer..'!A1066" display="   → proceed to topic: Songs (Tracker Modules)"/>
    <hyperlink ref="G6" location="'PDF, JPG, MP3, PNG, Installer..'!A1182" display="   → proceed to topic: Songs (web)"/>
    <hyperlink ref="G7" location="'PDF, JPG, MP3, PNG, Installer..'!A1291" display="   → proceed to topic: Videos (web)"/>
    <hyperlink ref="G8" location="'PDF, JPG, MP3, PNG, Installer..'!A1397" display="   → proceed to topic: Scientific Data"/>
    <hyperlink ref="A755" r:id="rId1864" display="''"/>
    <hyperlink ref="A753" r:id="rId1865"/>
    <hyperlink ref="F827" r:id="rId1866" display="PAQ8px_v70 -7 (08.03.'16) M. Mahoney, J. Ondrus et al"/>
    <hyperlink ref="A830" r:id="rId1867" display="PAQ8px_v70 -7 (08.03.'16) M. Mahoney, J. Ondrus et al"/>
    <hyperlink ref="A16" r:id="rId1868"/>
    <hyperlink ref="F16" r:id="rId1869"/>
    <hyperlink ref="F70" r:id="rId1870"/>
    <hyperlink ref="A70" r:id="rId1871"/>
    <hyperlink ref="A127" r:id="rId1872"/>
    <hyperlink ref="A192" r:id="rId1873"/>
    <hyperlink ref="F190" r:id="rId1874"/>
    <hyperlink ref="A253" r:id="rId1875"/>
    <hyperlink ref="F252" r:id="rId1876"/>
    <hyperlink ref="F307" r:id="rId1877"/>
    <hyperlink ref="A311" r:id="rId1878"/>
    <hyperlink ref="A370" r:id="rId1879"/>
    <hyperlink ref="F374" r:id="rId1880"/>
    <hyperlink ref="F432" r:id="rId1881"/>
    <hyperlink ref="A429" r:id="rId1882"/>
    <hyperlink ref="A495" r:id="rId1883"/>
    <hyperlink ref="F493" r:id="rId1884"/>
    <hyperlink ref="F556" r:id="rId1885"/>
    <hyperlink ref="A551" r:id="rId1886"/>
    <hyperlink ref="A625" r:id="rId1887"/>
    <hyperlink ref="F618" r:id="rId1888"/>
    <hyperlink ref="F688" r:id="rId1889"/>
    <hyperlink ref="A688" r:id="rId1890"/>
    <hyperlink ref="A754" r:id="rId1891"/>
    <hyperlink ref="A819" r:id="rId1892"/>
    <hyperlink ref="F822" r:id="rId1893"/>
    <hyperlink ref="F884" r:id="rId1894"/>
    <hyperlink ref="A880" r:id="rId1895"/>
    <hyperlink ref="A936" r:id="rId1896"/>
    <hyperlink ref="F938" r:id="rId1897"/>
    <hyperlink ref="A994" r:id="rId1898"/>
    <hyperlink ref="A1059" r:id="rId1899"/>
    <hyperlink ref="F1059" r:id="rId1900"/>
    <hyperlink ref="A1111" r:id="rId1901"/>
    <hyperlink ref="A1168" r:id="rId1902"/>
    <hyperlink ref="F1166" r:id="rId1903"/>
    <hyperlink ref="F1216" r:id="rId1904"/>
    <hyperlink ref="A1222" r:id="rId1905"/>
    <hyperlink ref="A1279" r:id="rId1906"/>
    <hyperlink ref="F1280" r:id="rId1907"/>
    <hyperlink ref="F1329" r:id="rId1908"/>
    <hyperlink ref="A1330" r:id="rId1909"/>
  </hyperlinks>
  <pageMargins left="0.7" right="0.7" top="0.75" bottom="0.75" header="0.3" footer="0.3"/>
  <pageSetup paperSize="9" orientation="portrait" r:id="rId1910"/>
  <legacyDrawing r:id="rId1911"/>
  <picture r:id="rId191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98A49E41-F7C8-4605-8AB8-EAEC4DF426A3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I15:I57</xm:sqref>
        </x14:conditionalFormatting>
        <x14:conditionalFormatting xmlns:xm="http://schemas.microsoft.com/office/excel/2006/main">
          <x14:cfRule type="dataBar" id="{CEACBB10-1123-4161-B307-753EAB2C710D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D125:D173</xm:sqref>
        </x14:conditionalFormatting>
        <x14:conditionalFormatting xmlns:xm="http://schemas.microsoft.com/office/excel/2006/main">
          <x14:cfRule type="dataBar" id="{28CBBE0D-ED94-4953-8B59-D3C97BDE475B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D990:D1036</xm:sqref>
        </x14:conditionalFormatting>
        <x14:conditionalFormatting xmlns:xm="http://schemas.microsoft.com/office/excel/2006/main">
          <x14:cfRule type="dataBar" id="{50B6C3FF-989A-4914-A1C7-C71D152EBC5B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D1383:D1420</xm:sqref>
        </x14:conditionalFormatting>
        <x14:conditionalFormatting xmlns:xm="http://schemas.microsoft.com/office/excel/2006/main">
          <x14:cfRule type="dataBar" id="{E34A3D1E-AC62-487C-98EF-451FF709B108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I1383:I1420</xm:sqref>
        </x14:conditionalFormatting>
        <x14:conditionalFormatting xmlns:xm="http://schemas.microsoft.com/office/excel/2006/main">
          <x14:cfRule type="dataBar" id="{D5F18858-F360-465C-949D-F5CF8C81A47B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D1426:D1463</xm:sqref>
        </x14:conditionalFormatting>
        <x14:conditionalFormatting xmlns:xm="http://schemas.microsoft.com/office/excel/2006/main">
          <x14:cfRule type="dataBar" id="{F844A213-D8F5-4A06-94C3-C55F76838E36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I70:I116</xm:sqref>
        </x14:conditionalFormatting>
        <x14:conditionalFormatting xmlns:xm="http://schemas.microsoft.com/office/excel/2006/main">
          <x14:cfRule type="dataBar" id="{099C8B7F-D92E-4FE4-91A6-512BD35978D3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I935:I981</xm:sqref>
        </x14:conditionalFormatting>
        <x14:conditionalFormatting xmlns:xm="http://schemas.microsoft.com/office/excel/2006/main">
          <x14:cfRule type="dataBar" id="{DFEB8DF9-CB81-46A9-ABC4-F162439E6F1A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I1165:I1208</xm:sqref>
        </x14:conditionalFormatting>
        <x14:conditionalFormatting xmlns:xm="http://schemas.microsoft.com/office/excel/2006/main">
          <x14:cfRule type="dataBar" id="{12D82EB4-E5DA-497B-9D30-12A3F6E095B9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I1214:I1258</xm:sqref>
        </x14:conditionalFormatting>
        <x14:conditionalFormatting xmlns:xm="http://schemas.microsoft.com/office/excel/2006/main">
          <x14:cfRule type="dataBar" id="{D50710A3-C096-4799-8B28-DA63A305B1F0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I1276:I1314</xm:sqref>
        </x14:conditionalFormatting>
        <x14:conditionalFormatting xmlns:xm="http://schemas.microsoft.com/office/excel/2006/main">
          <x14:cfRule type="dataBar" id="{62711506-4121-46E0-8AFF-87762AF425D6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D1327:D1368</xm:sqref>
        </x14:conditionalFormatting>
        <x14:conditionalFormatting xmlns:xm="http://schemas.microsoft.com/office/excel/2006/main">
          <x14:cfRule type="dataBar" id="{4884B3F3-B759-41D8-8C6B-A71C56A0BE27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I1327:I1371</xm:sqref>
        </x14:conditionalFormatting>
        <x14:conditionalFormatting xmlns:xm="http://schemas.microsoft.com/office/excel/2006/main">
          <x14:cfRule type="dataBar" id="{660A9250-3F97-4AFF-A0C2-C4C8BF5D200C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I819:I865</xm:sqref>
        </x14:conditionalFormatting>
        <x14:conditionalFormatting xmlns:xm="http://schemas.microsoft.com/office/excel/2006/main">
          <x14:cfRule type="dataBar" id="{A48E0815-DD95-4E7E-BCD7-6A14175B08BA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D753:D794</xm:sqref>
        </x14:conditionalFormatting>
        <x14:conditionalFormatting xmlns:xm="http://schemas.microsoft.com/office/excel/2006/main">
          <x14:cfRule type="dataBar" id="{5C0AF4BF-FF25-455B-B50C-6B733F743EAD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I688:I748</xm:sqref>
        </x14:conditionalFormatting>
        <x14:conditionalFormatting xmlns:xm="http://schemas.microsoft.com/office/excel/2006/main">
          <x14:cfRule type="dataBar" id="{E17650A1-71A2-48D3-B1A6-CE066E71E65A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D70:D117</xm:sqref>
        </x14:conditionalFormatting>
        <x14:conditionalFormatting xmlns:xm="http://schemas.microsoft.com/office/excel/2006/main">
          <x14:cfRule type="dataBar" id="{D86AFF1E-A78A-4A13-801E-DE9719960DD8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D688:D736</xm:sqref>
        </x14:conditionalFormatting>
        <x14:conditionalFormatting xmlns:xm="http://schemas.microsoft.com/office/excel/2006/main">
          <x14:cfRule type="dataBar" id="{280C425F-11D1-4D9A-85BF-04C61596E517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A819:D820 A832:D833 A865:D866 C864:D864 A847:D859 B846:D846 A861:D863 B860:D860 A836:D845 B834:D835 C824:D831 A823:D823 C821:D822</xm:sqref>
        </x14:conditionalFormatting>
        <x14:conditionalFormatting xmlns:xm="http://schemas.microsoft.com/office/excel/2006/main">
          <x14:cfRule type="dataBar" id="{BB52B88E-3E08-4136-B9B8-28241E9189CA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D880:D921</xm:sqref>
        </x14:conditionalFormatting>
        <x14:conditionalFormatting xmlns:xm="http://schemas.microsoft.com/office/excel/2006/main">
          <x14:cfRule type="dataBar" id="{8F7866CE-AAD1-474B-B2E4-08ACA8CE2C5A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D936:D982</xm:sqref>
        </x14:conditionalFormatting>
        <x14:conditionalFormatting xmlns:xm="http://schemas.microsoft.com/office/excel/2006/main">
          <x14:cfRule type="dataBar" id="{D20BDB05-96C9-4CD9-89E9-AE5BA81EF8A8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D1276:D1314</xm:sqref>
        </x14:conditionalFormatting>
        <x14:conditionalFormatting xmlns:xm="http://schemas.microsoft.com/office/excel/2006/main">
          <x14:cfRule type="dataBar" id="{F992C193-CAB2-4FA5-88C4-1E35167F0C35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D1214:D1263</xm:sqref>
        </x14:conditionalFormatting>
        <x14:conditionalFormatting xmlns:xm="http://schemas.microsoft.com/office/excel/2006/main">
          <x14:cfRule type="dataBar" id="{9EB8F3B2-6F6A-40A8-A0CC-A7AA7065CFE7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I880:I927</xm:sqref>
        </x14:conditionalFormatting>
        <x14:conditionalFormatting xmlns:xm="http://schemas.microsoft.com/office/excel/2006/main">
          <x14:cfRule type="dataBar" id="{AD7707EC-059C-4261-BEDE-C125C7599B86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D611</xm:sqref>
        </x14:conditionalFormatting>
        <x14:conditionalFormatting xmlns:xm="http://schemas.microsoft.com/office/excel/2006/main">
          <x14:cfRule type="dataBar" id="{0B4B95D4-5165-4E7A-A93F-AE4AFB7880EC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D15:D60</xm:sqref>
        </x14:conditionalFormatting>
        <x14:conditionalFormatting xmlns:xm="http://schemas.microsoft.com/office/excel/2006/main">
          <x14:cfRule type="dataBar" id="{F73D7B61-1D95-45A2-B677-A68244B7F43A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D551:D605</xm:sqref>
        </x14:conditionalFormatting>
        <x14:conditionalFormatting xmlns:xm="http://schemas.microsoft.com/office/excel/2006/main">
          <x14:cfRule type="dataBar" id="{7066154E-DABD-46D8-8FE4-9325E2059F93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I551:I604</xm:sqref>
        </x14:conditionalFormatting>
        <x14:conditionalFormatting xmlns:xm="http://schemas.microsoft.com/office/excel/2006/main">
          <x14:cfRule type="dataBar" id="{EBDF8E32-D989-4649-A5ED-3D64CF8DEF35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D305:D359</xm:sqref>
        </x14:conditionalFormatting>
        <x14:conditionalFormatting xmlns:xm="http://schemas.microsoft.com/office/excel/2006/main">
          <x14:cfRule type="dataBar" id="{5307E7AE-1D59-4AAE-B38D-E5582A345194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I305:I357</xm:sqref>
        </x14:conditionalFormatting>
        <x14:conditionalFormatting xmlns:xm="http://schemas.microsoft.com/office/excel/2006/main">
          <x14:cfRule type="dataBar" id="{AA7E4C83-ED9F-4ADC-8220-62EF32983167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D1165:D1209</xm:sqref>
        </x14:conditionalFormatting>
        <x14:conditionalFormatting xmlns:xm="http://schemas.microsoft.com/office/excel/2006/main">
          <x14:cfRule type="dataBar" id="{9FCC7F10-FF16-4024-972B-B4C0E5E66CCE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D301:D302 D244:D246</xm:sqref>
        </x14:conditionalFormatting>
        <x14:conditionalFormatting xmlns:xm="http://schemas.microsoft.com/office/excel/2006/main">
          <x14:cfRule type="dataBar" id="{754D106F-2941-458B-B6E7-2C4857460AF7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D488:D541</xm:sqref>
        </x14:conditionalFormatting>
        <x14:conditionalFormatting xmlns:xm="http://schemas.microsoft.com/office/excel/2006/main">
          <x14:cfRule type="dataBar" id="{3AA3A282-CAE1-419B-8B2A-7103F13A068E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I427:I476</xm:sqref>
        </x14:conditionalFormatting>
        <x14:conditionalFormatting xmlns:xm="http://schemas.microsoft.com/office/excel/2006/main">
          <x14:cfRule type="dataBar" id="{4A735144-0F81-4204-93AF-9B35C95C937A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I488:I541</xm:sqref>
        </x14:conditionalFormatting>
        <x14:conditionalFormatting xmlns:xm="http://schemas.microsoft.com/office/excel/2006/main">
          <x14:cfRule type="dataBar" id="{BB8323DB-BD42-40D9-B00F-7810EDB96188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I369:I409</xm:sqref>
        </x14:conditionalFormatting>
        <x14:conditionalFormatting xmlns:xm="http://schemas.microsoft.com/office/excel/2006/main">
          <x14:cfRule type="dataBar" id="{0C62AFEF-DD31-4D5D-9488-F5AB1697DBC2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I239</xm:sqref>
        </x14:conditionalFormatting>
        <x14:conditionalFormatting xmlns:xm="http://schemas.microsoft.com/office/excel/2006/main">
          <x14:cfRule type="dataBar" id="{DF305333-DB20-454A-B283-22DF849858C1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D427:D479</xm:sqref>
        </x14:conditionalFormatting>
        <x14:conditionalFormatting xmlns:xm="http://schemas.microsoft.com/office/excel/2006/main">
          <x14:cfRule type="dataBar" id="{B57F7BDC-DED1-42CE-BDE6-832B9F1394E6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D369:D418</xm:sqref>
        </x14:conditionalFormatting>
        <x14:conditionalFormatting xmlns:xm="http://schemas.microsoft.com/office/excel/2006/main">
          <x14:cfRule type="dataBar" id="{37D38B4C-96B0-4C55-BA6E-928285BD46AC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I248:I295</xm:sqref>
        </x14:conditionalFormatting>
        <x14:conditionalFormatting xmlns:xm="http://schemas.microsoft.com/office/excel/2006/main">
          <x14:cfRule type="dataBar" id="{757F7BEA-33BA-4487-A048-BFAE03CAC64B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D248:D295</xm:sqref>
        </x14:conditionalFormatting>
        <x14:conditionalFormatting xmlns:xm="http://schemas.microsoft.com/office/excel/2006/main">
          <x14:cfRule type="dataBar" id="{9F5712E8-BC0C-4D14-9B0A-4F05E55E3CE0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D187:D239</xm:sqref>
        </x14:conditionalFormatting>
        <x14:conditionalFormatting xmlns:xm="http://schemas.microsoft.com/office/excel/2006/main">
          <x14:cfRule type="dataBar" id="{EAD84F6A-A415-4800-88C0-CC7774DCFF0C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I186:I238</xm:sqref>
        </x14:conditionalFormatting>
        <x14:conditionalFormatting xmlns:xm="http://schemas.microsoft.com/office/excel/2006/main">
          <x14:cfRule type="dataBar" id="{62D6BDDE-662A-436C-8811-C6DDD35349E2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I1428:I1466</xm:sqref>
        </x14:conditionalFormatting>
        <x14:conditionalFormatting xmlns:xm="http://schemas.microsoft.com/office/excel/2006/main">
          <x14:cfRule type="dataBar" id="{C2B7E410-EDAC-430A-8732-77D2F4055711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I1051:I1099</xm:sqref>
        </x14:conditionalFormatting>
        <x14:conditionalFormatting xmlns:xm="http://schemas.microsoft.com/office/excel/2006/main">
          <x14:cfRule type="dataBar" id="{94C4A3A0-1C14-4774-A093-8103E08F2900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D1051:D1098</xm:sqref>
        </x14:conditionalFormatting>
        <x14:conditionalFormatting xmlns:xm="http://schemas.microsoft.com/office/excel/2006/main">
          <x14:cfRule type="dataBar" id="{8E135128-4A21-42A0-AEB8-ADE51071B693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D1105:D1153</xm:sqref>
        </x14:conditionalFormatting>
        <x14:conditionalFormatting xmlns:xm="http://schemas.microsoft.com/office/excel/2006/main">
          <x14:cfRule type="dataBar" id="{ECCFA121-AE7D-4CCF-971E-0218A0AE20AC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I615:I669</xm:sqref>
        </x14:conditionalFormatting>
        <x14:conditionalFormatting xmlns:xm="http://schemas.microsoft.com/office/excel/2006/main">
          <x14:cfRule type="dataBar" id="{983B97C6-CD89-44BC-98CF-53BC085C38E7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D615:D669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10">
    <tabColor rgb="FFFFC000"/>
  </sheetPr>
  <dimension ref="A1:AK144"/>
  <sheetViews>
    <sheetView showGridLines="0" workbookViewId="0">
      <pane xSplit="5" ySplit="12" topLeftCell="H13" activePane="bottomRight" state="frozen"/>
      <selection pane="topRight" activeCell="F1" sqref="F1"/>
      <selection pane="bottomLeft" activeCell="A13" sqref="A13"/>
      <selection pane="bottomRight" activeCell="B15" sqref="B15"/>
    </sheetView>
  </sheetViews>
  <sheetFormatPr baseColWidth="10" defaultColWidth="0" defaultRowHeight="12.75" x14ac:dyDescent="0.2"/>
  <cols>
    <col min="1" max="1" width="42.5703125" style="138" customWidth="1"/>
    <col min="2" max="2" width="27" style="138" customWidth="1"/>
    <col min="3" max="3" width="15.42578125" style="138" hidden="1" customWidth="1"/>
    <col min="4" max="4" width="12.85546875" style="138" customWidth="1"/>
    <col min="5" max="5" width="12.7109375" style="138" customWidth="1"/>
    <col min="6" max="6" width="14.85546875" style="138" customWidth="1"/>
    <col min="7" max="9" width="12.5703125" style="138" customWidth="1"/>
    <col min="10" max="10" width="15.28515625" style="138" customWidth="1"/>
    <col min="11" max="13" width="12.5703125" style="138" customWidth="1"/>
    <col min="14" max="14" width="14.85546875" style="138" customWidth="1"/>
    <col min="15" max="15" width="12.5703125" style="138" customWidth="1"/>
    <col min="16" max="16" width="14.28515625" style="138" customWidth="1"/>
    <col min="17" max="20" width="12.5703125" style="138" customWidth="1"/>
    <col min="21" max="21" width="15" style="138" customWidth="1"/>
    <col min="22" max="25" width="12.5703125" style="138" customWidth="1"/>
    <col min="26" max="26" width="15.42578125" style="138" customWidth="1"/>
    <col min="27" max="27" width="13.85546875" style="138" customWidth="1"/>
    <col min="28" max="28" width="12.5703125" style="138" customWidth="1"/>
    <col min="29" max="30" width="13.28515625" style="138" customWidth="1"/>
    <col min="31" max="33" width="12.5703125" style="138" customWidth="1"/>
    <col min="34" max="34" width="13.85546875" style="138" customWidth="1"/>
    <col min="35" max="36" width="12.5703125" style="138" customWidth="1"/>
    <col min="37" max="37" width="15.140625" style="138" customWidth="1"/>
    <col min="38" max="16384" width="9.140625" style="138" hidden="1"/>
  </cols>
  <sheetData>
    <row r="1" spans="1:37" ht="12.75" customHeight="1" x14ac:dyDescent="0.2">
      <c r="A1" s="7"/>
      <c r="B1" s="8"/>
      <c r="C1" s="1896" t="s">
        <v>1627</v>
      </c>
      <c r="D1" s="1896"/>
      <c r="E1" s="1896"/>
      <c r="F1" s="1896"/>
      <c r="G1" s="1896"/>
      <c r="H1" s="1896"/>
      <c r="I1" s="1896"/>
      <c r="J1" s="1896"/>
      <c r="K1" s="1896"/>
      <c r="L1" s="1896"/>
      <c r="M1" s="1896"/>
      <c r="N1" s="1896"/>
      <c r="O1" s="1896"/>
      <c r="P1" s="1896"/>
      <c r="Q1" s="1896"/>
      <c r="R1" s="1896"/>
      <c r="S1" s="1896"/>
      <c r="T1" s="1896"/>
      <c r="U1" s="5012"/>
      <c r="V1" s="5012"/>
      <c r="W1" s="5012"/>
      <c r="X1" s="5012"/>
      <c r="Y1" s="5012"/>
      <c r="Z1" s="5012"/>
      <c r="AA1" s="5012"/>
      <c r="AB1" s="5012"/>
      <c r="AC1" s="5012"/>
      <c r="AD1" s="5012"/>
      <c r="AE1" s="5012"/>
      <c r="AF1" s="5012"/>
      <c r="AG1" s="5012"/>
      <c r="AH1" s="5012"/>
      <c r="AI1" s="5012"/>
      <c r="AJ1" s="5012"/>
      <c r="AK1" s="5012"/>
    </row>
    <row r="2" spans="1:37" ht="18" customHeight="1" x14ac:dyDescent="0.25">
      <c r="A2" s="5018">
        <v>42997.467361111114</v>
      </c>
      <c r="B2" s="5019"/>
      <c r="C2" s="1896"/>
      <c r="D2" s="1896"/>
      <c r="E2" s="1896"/>
      <c r="F2" s="1896"/>
      <c r="G2" s="1896"/>
      <c r="H2" s="1896"/>
      <c r="I2" s="1896"/>
      <c r="J2" s="1896"/>
      <c r="K2" s="1896"/>
      <c r="L2" s="1896"/>
      <c r="M2" s="1896"/>
      <c r="N2" s="1896"/>
      <c r="O2" s="1896"/>
      <c r="P2" s="1896"/>
      <c r="Q2" s="1896"/>
      <c r="R2" s="1896"/>
      <c r="S2" s="1896"/>
      <c r="T2" s="1896"/>
      <c r="U2" s="5012"/>
      <c r="V2" s="5012"/>
      <c r="W2" s="5012"/>
      <c r="X2" s="5012"/>
      <c r="Y2" s="5012"/>
      <c r="Z2" s="5012"/>
      <c r="AA2" s="5012"/>
      <c r="AB2" s="5012"/>
      <c r="AC2" s="5012"/>
      <c r="AD2" s="5012"/>
      <c r="AE2" s="5012"/>
      <c r="AF2" s="5012"/>
      <c r="AG2" s="5012"/>
      <c r="AH2" s="5012"/>
      <c r="AI2" s="5012"/>
      <c r="AJ2" s="5012"/>
      <c r="AK2" s="5012"/>
    </row>
    <row r="3" spans="1:37" ht="12.75" customHeight="1" x14ac:dyDescent="0.25">
      <c r="A3" s="1621" t="s">
        <v>1444</v>
      </c>
      <c r="B3" s="8"/>
      <c r="C3" s="1896"/>
      <c r="D3" s="1896"/>
      <c r="E3" s="1896"/>
      <c r="F3" s="1896"/>
      <c r="G3" s="1896"/>
      <c r="H3" s="1896"/>
      <c r="I3" s="1896"/>
      <c r="J3" s="1896"/>
      <c r="K3" s="1896"/>
      <c r="L3" s="1896"/>
      <c r="M3" s="1896"/>
      <c r="N3" s="1896"/>
      <c r="O3" s="1896"/>
      <c r="P3" s="1896"/>
      <c r="Q3" s="1896"/>
      <c r="R3" s="1896"/>
      <c r="S3" s="1896"/>
      <c r="T3" s="1896"/>
      <c r="U3" s="5012"/>
      <c r="V3" s="5012"/>
      <c r="W3" s="5012"/>
      <c r="X3" s="5012"/>
      <c r="Y3" s="5012"/>
      <c r="Z3" s="5012"/>
      <c r="AA3" s="5012"/>
      <c r="AB3" s="5012"/>
      <c r="AC3" s="5012"/>
      <c r="AD3" s="5012"/>
      <c r="AE3" s="5012"/>
      <c r="AF3" s="5012"/>
      <c r="AG3" s="5012"/>
      <c r="AH3" s="5012"/>
      <c r="AI3" s="5012"/>
      <c r="AJ3" s="5012"/>
      <c r="AK3" s="5012"/>
    </row>
    <row r="4" spans="1:37" ht="12.75" customHeight="1" x14ac:dyDescent="0.2">
      <c r="A4" s="8"/>
      <c r="B4" s="8"/>
      <c r="C4" s="1897"/>
      <c r="D4" s="1897"/>
      <c r="E4" s="1897"/>
      <c r="F4" s="1897"/>
      <c r="G4" s="1897"/>
      <c r="H4" s="1897"/>
      <c r="I4" s="1897"/>
      <c r="J4" s="1897"/>
      <c r="K4" s="1897"/>
      <c r="L4" s="1897"/>
      <c r="M4" s="1897"/>
      <c r="N4" s="1897"/>
      <c r="O4" s="1897"/>
      <c r="P4" s="1897"/>
      <c r="Q4" s="1897"/>
      <c r="R4" s="1897"/>
      <c r="S4" s="1897"/>
      <c r="T4" s="1897"/>
      <c r="U4" s="5012"/>
      <c r="V4" s="5012"/>
      <c r="W4" s="5012"/>
      <c r="X4" s="5012"/>
      <c r="Y4" s="5012"/>
      <c r="Z4" s="5012"/>
      <c r="AA4" s="5012"/>
      <c r="AB4" s="5012"/>
      <c r="AC4" s="5012"/>
      <c r="AD4" s="5012"/>
      <c r="AE4" s="5012"/>
      <c r="AF4" s="5012"/>
      <c r="AG4" s="5012"/>
      <c r="AH4" s="5012"/>
      <c r="AI4" s="5012"/>
      <c r="AJ4" s="5012"/>
      <c r="AK4" s="5012"/>
    </row>
    <row r="5" spans="1:37" s="654" customFormat="1" ht="30" customHeight="1" x14ac:dyDescent="0.25">
      <c r="A5" s="752" t="s">
        <v>43</v>
      </c>
      <c r="B5" s="752" t="s">
        <v>768</v>
      </c>
      <c r="C5" s="753" t="s">
        <v>769</v>
      </c>
      <c r="D5" s="753" t="s">
        <v>770</v>
      </c>
      <c r="E5" s="1925"/>
      <c r="F5" s="754" t="s">
        <v>771</v>
      </c>
      <c r="G5" s="754" t="s">
        <v>772</v>
      </c>
      <c r="H5" s="755" t="s">
        <v>773</v>
      </c>
      <c r="I5" s="754" t="s">
        <v>774</v>
      </c>
      <c r="J5" s="754" t="s">
        <v>775</v>
      </c>
      <c r="K5" s="754" t="s">
        <v>776</v>
      </c>
      <c r="L5" s="754" t="s">
        <v>777</v>
      </c>
      <c r="M5" s="754" t="s">
        <v>778</v>
      </c>
      <c r="N5" s="754" t="s">
        <v>779</v>
      </c>
      <c r="O5" s="754" t="s">
        <v>780</v>
      </c>
      <c r="P5" s="754" t="s">
        <v>781</v>
      </c>
      <c r="Q5" s="754" t="s">
        <v>782</v>
      </c>
      <c r="R5" s="754" t="s">
        <v>783</v>
      </c>
      <c r="S5" s="754" t="s">
        <v>784</v>
      </c>
      <c r="T5" s="754" t="s">
        <v>785</v>
      </c>
      <c r="U5" s="754" t="s">
        <v>786</v>
      </c>
      <c r="V5" s="754" t="s">
        <v>787</v>
      </c>
      <c r="W5" s="754" t="s">
        <v>788</v>
      </c>
      <c r="X5" s="754" t="s">
        <v>789</v>
      </c>
      <c r="Y5" s="754" t="s">
        <v>790</v>
      </c>
      <c r="Z5" s="754" t="s">
        <v>791</v>
      </c>
      <c r="AA5" s="754" t="s">
        <v>792</v>
      </c>
      <c r="AB5" s="754" t="s">
        <v>793</v>
      </c>
      <c r="AC5" s="754" t="s">
        <v>794</v>
      </c>
      <c r="AD5" s="754" t="s">
        <v>795</v>
      </c>
      <c r="AE5" s="754" t="s">
        <v>796</v>
      </c>
      <c r="AF5" s="754" t="s">
        <v>797</v>
      </c>
      <c r="AG5" s="754" t="s">
        <v>798</v>
      </c>
      <c r="AH5" s="754" t="s">
        <v>799</v>
      </c>
      <c r="AI5" s="754" t="s">
        <v>800</v>
      </c>
      <c r="AJ5" s="754" t="s">
        <v>801</v>
      </c>
      <c r="AK5" s="755" t="s">
        <v>802</v>
      </c>
    </row>
    <row r="6" spans="1:37" s="1909" customFormat="1" ht="20.25" customHeight="1" x14ac:dyDescent="0.25">
      <c r="A6" s="5024" t="s">
        <v>1822</v>
      </c>
      <c r="B6" s="5025"/>
      <c r="C6" s="756"/>
      <c r="D6" s="5028" t="s">
        <v>803</v>
      </c>
      <c r="E6" s="5029"/>
      <c r="F6" s="1355" t="s">
        <v>2116</v>
      </c>
      <c r="G6" s="5013" t="s">
        <v>804</v>
      </c>
      <c r="H6" s="5014"/>
      <c r="I6" s="758" t="s">
        <v>805</v>
      </c>
      <c r="J6" s="759" t="s">
        <v>806</v>
      </c>
      <c r="K6" s="5015" t="s">
        <v>807</v>
      </c>
      <c r="L6" s="5014"/>
      <c r="M6" s="5013" t="s">
        <v>808</v>
      </c>
      <c r="N6" s="5016"/>
      <c r="O6" s="5014"/>
      <c r="P6" s="5013" t="s">
        <v>808</v>
      </c>
      <c r="Q6" s="5016"/>
      <c r="R6" s="5016"/>
      <c r="S6" s="5016"/>
      <c r="T6" s="5016"/>
      <c r="U6" s="5016"/>
      <c r="V6" s="5014"/>
      <c r="W6" s="5013" t="s">
        <v>808</v>
      </c>
      <c r="X6" s="5016"/>
      <c r="Y6" s="5016"/>
      <c r="Z6" s="5016"/>
      <c r="AA6" s="5016"/>
      <c r="AB6" s="5014"/>
      <c r="AC6" s="759" t="s">
        <v>808</v>
      </c>
      <c r="AD6" s="5013" t="s">
        <v>808</v>
      </c>
      <c r="AE6" s="5014"/>
      <c r="AF6" s="758" t="s">
        <v>809</v>
      </c>
      <c r="AG6" s="759" t="s">
        <v>810</v>
      </c>
      <c r="AH6" s="758" t="s">
        <v>811</v>
      </c>
      <c r="AI6" s="1908" t="s">
        <v>812</v>
      </c>
      <c r="AJ6" s="5013" t="s">
        <v>813</v>
      </c>
      <c r="AK6" s="5017"/>
    </row>
    <row r="7" spans="1:37" s="654" customFormat="1" ht="6" hidden="1" customHeight="1" x14ac:dyDescent="0.25">
      <c r="A7" s="5026"/>
      <c r="B7" s="5027"/>
      <c r="C7" s="757"/>
      <c r="D7" s="1902"/>
      <c r="E7" s="1902" t="s">
        <v>814</v>
      </c>
      <c r="F7" s="1903" t="s">
        <v>815</v>
      </c>
      <c r="G7" s="5023" t="s">
        <v>816</v>
      </c>
      <c r="H7" s="5010"/>
      <c r="I7" s="1904" t="s">
        <v>817</v>
      </c>
      <c r="J7" s="1905" t="s">
        <v>818</v>
      </c>
      <c r="K7" s="5008" t="s">
        <v>819</v>
      </c>
      <c r="L7" s="5010"/>
      <c r="M7" s="1904" t="s">
        <v>820</v>
      </c>
      <c r="N7" s="1904" t="s">
        <v>821</v>
      </c>
      <c r="O7" s="1904" t="s">
        <v>822</v>
      </c>
      <c r="P7" s="5008" t="s">
        <v>823</v>
      </c>
      <c r="Q7" s="5009"/>
      <c r="R7" s="5009"/>
      <c r="S7" s="5009"/>
      <c r="T7" s="5009"/>
      <c r="U7" s="5009"/>
      <c r="V7" s="5010"/>
      <c r="W7" s="5008" t="s">
        <v>824</v>
      </c>
      <c r="X7" s="5009"/>
      <c r="Y7" s="5009"/>
      <c r="Z7" s="5009"/>
      <c r="AA7" s="5009"/>
      <c r="AB7" s="5010"/>
      <c r="AC7" s="1904" t="s">
        <v>825</v>
      </c>
      <c r="AD7" s="5008" t="s">
        <v>826</v>
      </c>
      <c r="AE7" s="5010"/>
      <c r="AF7" s="1906" t="s">
        <v>827</v>
      </c>
      <c r="AG7" s="1904" t="s">
        <v>828</v>
      </c>
      <c r="AH7" s="1904" t="s">
        <v>829</v>
      </c>
      <c r="AI7" s="1907" t="s">
        <v>1707</v>
      </c>
      <c r="AJ7" s="5008" t="s">
        <v>830</v>
      </c>
      <c r="AK7" s="5011"/>
    </row>
    <row r="8" spans="1:37" s="654" customFormat="1" ht="12.75" customHeight="1" x14ac:dyDescent="0.25">
      <c r="A8" s="5026"/>
      <c r="B8" s="5027"/>
      <c r="C8" s="757"/>
      <c r="D8" s="2518"/>
      <c r="E8" s="3487" t="s">
        <v>831</v>
      </c>
      <c r="F8" s="760"/>
      <c r="G8" s="761" t="s">
        <v>832</v>
      </c>
      <c r="H8" s="762" t="s">
        <v>833</v>
      </c>
      <c r="I8" s="1303" t="s">
        <v>834</v>
      </c>
      <c r="J8" s="761" t="s">
        <v>835</v>
      </c>
      <c r="K8" s="1610" t="s">
        <v>63</v>
      </c>
      <c r="L8" s="761" t="s">
        <v>836</v>
      </c>
      <c r="M8" s="761" t="s">
        <v>837</v>
      </c>
      <c r="N8" s="761" t="s">
        <v>289</v>
      </c>
      <c r="O8" s="761" t="s">
        <v>838</v>
      </c>
      <c r="P8" s="761" t="s">
        <v>839</v>
      </c>
      <c r="Q8" s="761" t="s">
        <v>383</v>
      </c>
      <c r="R8" s="761" t="s">
        <v>253</v>
      </c>
      <c r="S8" s="761" t="s">
        <v>840</v>
      </c>
      <c r="T8" s="761" t="s">
        <v>841</v>
      </c>
      <c r="U8" s="761" t="s">
        <v>842</v>
      </c>
      <c r="V8" s="761" t="s">
        <v>240</v>
      </c>
      <c r="W8" s="761" t="s">
        <v>843</v>
      </c>
      <c r="X8" s="761" t="s">
        <v>844</v>
      </c>
      <c r="Y8" s="761" t="s">
        <v>845</v>
      </c>
      <c r="Z8" s="761" t="s">
        <v>846</v>
      </c>
      <c r="AA8" s="761" t="s">
        <v>161</v>
      </c>
      <c r="AB8" s="761" t="s">
        <v>847</v>
      </c>
      <c r="AC8" s="761" t="s">
        <v>848</v>
      </c>
      <c r="AD8" s="761" t="s">
        <v>849</v>
      </c>
      <c r="AE8" s="761" t="s">
        <v>850</v>
      </c>
      <c r="AF8" s="761" t="s">
        <v>851</v>
      </c>
      <c r="AG8" s="761" t="s">
        <v>852</v>
      </c>
      <c r="AH8" s="761" t="s">
        <v>853</v>
      </c>
      <c r="AI8" s="761" t="s">
        <v>854</v>
      </c>
      <c r="AJ8" s="761" t="s">
        <v>69</v>
      </c>
      <c r="AK8" s="762" t="s">
        <v>297</v>
      </c>
    </row>
    <row r="9" spans="1:37" s="654" customFormat="1" ht="15" x14ac:dyDescent="0.25">
      <c r="A9" s="5020"/>
      <c r="B9" s="5021"/>
      <c r="C9" s="763"/>
      <c r="D9" s="2516"/>
      <c r="E9" s="2517" t="s">
        <v>855</v>
      </c>
      <c r="F9" s="764" t="s">
        <v>856</v>
      </c>
      <c r="G9" s="764" t="s">
        <v>856</v>
      </c>
      <c r="H9" s="764" t="s">
        <v>856</v>
      </c>
      <c r="I9" s="764" t="s">
        <v>856</v>
      </c>
      <c r="J9" s="764" t="s">
        <v>856</v>
      </c>
      <c r="K9" s="764" t="s">
        <v>856</v>
      </c>
      <c r="L9" s="764" t="s">
        <v>856</v>
      </c>
      <c r="M9" s="764" t="s">
        <v>856</v>
      </c>
      <c r="N9" s="764" t="s">
        <v>856</v>
      </c>
      <c r="O9" s="764" t="s">
        <v>856</v>
      </c>
      <c r="P9" s="764" t="s">
        <v>856</v>
      </c>
      <c r="Q9" s="764" t="s">
        <v>856</v>
      </c>
      <c r="R9" s="764" t="s">
        <v>856</v>
      </c>
      <c r="S9" s="764" t="s">
        <v>856</v>
      </c>
      <c r="T9" s="764" t="s">
        <v>856</v>
      </c>
      <c r="U9" s="764" t="s">
        <v>856</v>
      </c>
      <c r="V9" s="764" t="s">
        <v>856</v>
      </c>
      <c r="W9" s="764" t="s">
        <v>856</v>
      </c>
      <c r="X9" s="764" t="s">
        <v>856</v>
      </c>
      <c r="Y9" s="764" t="s">
        <v>856</v>
      </c>
      <c r="Z9" s="764" t="s">
        <v>856</v>
      </c>
      <c r="AA9" s="764" t="s">
        <v>856</v>
      </c>
      <c r="AB9" s="764" t="s">
        <v>856</v>
      </c>
      <c r="AC9" s="764" t="s">
        <v>856</v>
      </c>
      <c r="AD9" s="764" t="s">
        <v>856</v>
      </c>
      <c r="AE9" s="764" t="s">
        <v>856</v>
      </c>
      <c r="AF9" s="764" t="s">
        <v>856</v>
      </c>
      <c r="AG9" s="764" t="s">
        <v>856</v>
      </c>
      <c r="AH9" s="764" t="s">
        <v>856</v>
      </c>
      <c r="AI9" s="764" t="s">
        <v>856</v>
      </c>
      <c r="AJ9" s="764" t="s">
        <v>856</v>
      </c>
      <c r="AK9" s="764" t="s">
        <v>856</v>
      </c>
    </row>
    <row r="10" spans="1:37" s="654" customFormat="1" ht="15" x14ac:dyDescent="0.25">
      <c r="A10" s="5022" t="s">
        <v>857</v>
      </c>
      <c r="B10" s="5021"/>
      <c r="C10" s="765"/>
      <c r="D10" s="766"/>
      <c r="E10" s="3486" t="s">
        <v>1706</v>
      </c>
      <c r="F10" s="767">
        <f t="shared" ref="F10:AK10" si="0">(MIN(F$12:F$140)*8)/F11</f>
        <v>1.1951029165321145</v>
      </c>
      <c r="G10" s="767">
        <f t="shared" si="0"/>
        <v>1.0414822987039218</v>
      </c>
      <c r="H10" s="767">
        <f t="shared" si="0"/>
        <v>0.82921474384534677</v>
      </c>
      <c r="I10" s="767">
        <f t="shared" si="0"/>
        <v>1.1499357282816414</v>
      </c>
      <c r="J10" s="767">
        <f t="shared" si="0"/>
        <v>0.98281423667948131</v>
      </c>
      <c r="K10" s="767">
        <f t="shared" si="0"/>
        <v>1.054485060561438</v>
      </c>
      <c r="L10" s="767">
        <f t="shared" si="0"/>
        <v>0.90169398123664879</v>
      </c>
      <c r="M10" s="767">
        <f t="shared" si="0"/>
        <v>1.2194324501102851</v>
      </c>
      <c r="N10" s="767">
        <f t="shared" si="0"/>
        <v>1.2258909493262131</v>
      </c>
      <c r="O10" s="767">
        <f t="shared" si="0"/>
        <v>0.87565564387402139</v>
      </c>
      <c r="P10" s="767">
        <f t="shared" si="0"/>
        <v>1.1635490324010795</v>
      </c>
      <c r="Q10" s="767">
        <f t="shared" si="0"/>
        <v>1.3324166418305077</v>
      </c>
      <c r="R10" s="767">
        <f t="shared" si="0"/>
        <v>1.1774809299892135</v>
      </c>
      <c r="S10" s="767">
        <f t="shared" si="0"/>
        <v>1.0932703569233397</v>
      </c>
      <c r="T10" s="767">
        <f t="shared" si="0"/>
        <v>1.2253429084088716</v>
      </c>
      <c r="U10" s="767">
        <f t="shared" si="0"/>
        <v>1.2659708361899489</v>
      </c>
      <c r="V10" s="767">
        <f t="shared" si="0"/>
        <v>1.1142959658680505</v>
      </c>
      <c r="W10" s="767">
        <f t="shared" si="0"/>
        <v>1.1215365347628174</v>
      </c>
      <c r="X10" s="767">
        <f t="shared" si="0"/>
        <v>1.2022005235942115</v>
      </c>
      <c r="Y10" s="767">
        <f t="shared" si="0"/>
        <v>1.2386516231469711</v>
      </c>
      <c r="Z10" s="767">
        <f t="shared" si="0"/>
        <v>1.2156194130810749</v>
      </c>
      <c r="AA10" s="767">
        <f t="shared" si="0"/>
        <v>1.1861946308269355</v>
      </c>
      <c r="AB10" s="767">
        <f t="shared" si="0"/>
        <v>1.2201948158436688</v>
      </c>
      <c r="AC10" s="767">
        <f t="shared" si="0"/>
        <v>0.47170950105138187</v>
      </c>
      <c r="AD10" s="767">
        <f t="shared" si="0"/>
        <v>1.4354275800622556</v>
      </c>
      <c r="AE10" s="767">
        <f t="shared" si="0"/>
        <v>1.3108288611406727</v>
      </c>
      <c r="AF10" s="767">
        <f t="shared" si="0"/>
        <v>1.3421283791627647</v>
      </c>
      <c r="AG10" s="767">
        <f t="shared" si="0"/>
        <v>1.39173898996739</v>
      </c>
      <c r="AH10" s="767">
        <f t="shared" si="0"/>
        <v>0.50352201497142812</v>
      </c>
      <c r="AI10" s="767">
        <f t="shared" si="0"/>
        <v>1.0096984801312183</v>
      </c>
      <c r="AJ10" s="767">
        <f t="shared" si="0"/>
        <v>1.2110127254749357</v>
      </c>
      <c r="AK10" s="767">
        <f t="shared" si="0"/>
        <v>1.3469641250777442</v>
      </c>
    </row>
    <row r="11" spans="1:37" s="654" customFormat="1" ht="15" x14ac:dyDescent="0.25">
      <c r="A11" s="768"/>
      <c r="B11" s="769"/>
      <c r="C11" s="770">
        <f>SUM(F11:AM11)</f>
        <v>154915531</v>
      </c>
      <c r="D11" s="753" t="s">
        <v>770</v>
      </c>
      <c r="E11" s="3485" t="s">
        <v>2118</v>
      </c>
      <c r="F11" s="771">
        <v>4183633</v>
      </c>
      <c r="G11" s="771">
        <v>4564694</v>
      </c>
      <c r="H11" s="771">
        <v>5768156</v>
      </c>
      <c r="I11" s="771">
        <v>4459971</v>
      </c>
      <c r="J11" s="771">
        <v>5427923</v>
      </c>
      <c r="K11" s="771">
        <v>4769289</v>
      </c>
      <c r="L11" s="771">
        <v>5712519</v>
      </c>
      <c r="M11" s="771">
        <v>4666092</v>
      </c>
      <c r="N11" s="771">
        <v>4265815</v>
      </c>
      <c r="O11" s="771">
        <v>6356919</v>
      </c>
      <c r="P11" s="771">
        <v>4457012</v>
      </c>
      <c r="Q11" s="771">
        <v>3969347</v>
      </c>
      <c r="R11" s="771">
        <v>4648398</v>
      </c>
      <c r="S11" s="771">
        <v>4423667</v>
      </c>
      <c r="T11" s="771">
        <v>4428442</v>
      </c>
      <c r="U11" s="771">
        <v>4139514</v>
      </c>
      <c r="V11" s="771">
        <v>5105832</v>
      </c>
      <c r="W11" s="771">
        <v>4650256</v>
      </c>
      <c r="X11" s="771">
        <v>4650166</v>
      </c>
      <c r="Y11" s="771">
        <v>5054225</v>
      </c>
      <c r="Z11" s="771">
        <v>4248764</v>
      </c>
      <c r="AA11" s="771">
        <v>4567817</v>
      </c>
      <c r="AB11" s="771">
        <v>4414836</v>
      </c>
      <c r="AC11" s="771">
        <v>3615242</v>
      </c>
      <c r="AD11" s="771">
        <v>4887915</v>
      </c>
      <c r="AE11" s="771">
        <v>4213444</v>
      </c>
      <c r="AF11" s="771">
        <v>4134752</v>
      </c>
      <c r="AG11" s="771">
        <v>3934071</v>
      </c>
      <c r="AH11" s="771">
        <v>11302195</v>
      </c>
      <c r="AI11" s="771">
        <v>4800546</v>
      </c>
      <c r="AJ11" s="771">
        <v>4598571</v>
      </c>
      <c r="AK11" s="771">
        <v>4495508</v>
      </c>
    </row>
    <row r="12" spans="1:37" s="654" customFormat="1" ht="14.1" customHeight="1" x14ac:dyDescent="0.25">
      <c r="A12" s="4673" t="s">
        <v>2492</v>
      </c>
      <c r="B12" s="4674" t="s">
        <v>2117</v>
      </c>
      <c r="C12" s="778"/>
      <c r="D12" s="1898">
        <f>((F12*100/4457012)+(G12*100/4666092)+(H12*100/4564694)+(I12*100/3934071)+(J12*100/4887915)+(K12*100/4213444)+(L12*100/3969347)+(M12*100/4648398)+(N12*100/4423667)+(O12*100/4183633)+(P12*100/4598571)+(Q12*100/4650256)+(R12*100/4428442)+(S12*100/3615242)+(T12*100/5768156)+(U12*100/4495508)+(V12*100/4650166)+(W12*100/4800546)+(X12*100/5054225)+(Y12*100/4265815)+(Z12*100/4769289)+(AA12*100/4139514)+(AB12*100/4248764)+(AC12*100/4567817)+(AD12*100/6356919)+(AE12*100/4414836)+(AF12*100/5105832)+(AG12*100/5712519)+(AH12*100/11302195)+(AJ12*100/5427923)+(AK12*100/4134752))/31</f>
        <v>14.228377295636955</v>
      </c>
      <c r="E12" s="3579">
        <f>286.15+298.53+343.99+363.28+336.7+275.97+333.43+279.74+301.31+351.43+255.26+258.56+274.13+254.76+267.19+255.12+318.08+284.74+294.61+347.45+290.49+315.27+306.66+278.36+360.78+288.63+282.44+212.51+376.47+254.28+269.37+357.58</f>
        <v>9573.2699999999986</v>
      </c>
      <c r="F12" s="775">
        <v>624984</v>
      </c>
      <c r="G12" s="775">
        <v>594256</v>
      </c>
      <c r="H12" s="775">
        <v>597880</v>
      </c>
      <c r="I12" s="775">
        <v>657376</v>
      </c>
      <c r="J12" s="775">
        <v>669594</v>
      </c>
      <c r="K12" s="775">
        <v>628643</v>
      </c>
      <c r="L12" s="775">
        <v>643868</v>
      </c>
      <c r="M12" s="775">
        <v>711248</v>
      </c>
      <c r="N12" s="775">
        <v>653678</v>
      </c>
      <c r="O12" s="775">
        <v>695809</v>
      </c>
      <c r="P12" s="775">
        <v>648244</v>
      </c>
      <c r="Q12" s="775">
        <v>661103</v>
      </c>
      <c r="R12" s="775">
        <v>684175</v>
      </c>
      <c r="S12" s="775">
        <v>614598</v>
      </c>
      <c r="T12" s="775">
        <v>678295</v>
      </c>
      <c r="U12" s="775">
        <v>655440</v>
      </c>
      <c r="V12" s="775">
        <v>712791</v>
      </c>
      <c r="W12" s="775">
        <v>651929</v>
      </c>
      <c r="X12" s="775">
        <v>698804</v>
      </c>
      <c r="Y12" s="775">
        <v>782553</v>
      </c>
      <c r="Z12" s="775">
        <v>679898</v>
      </c>
      <c r="AA12" s="1899">
        <v>677648</v>
      </c>
      <c r="AB12" s="775">
        <v>673370</v>
      </c>
      <c r="AC12" s="775">
        <v>213168</v>
      </c>
      <c r="AD12" s="775">
        <v>877031</v>
      </c>
      <c r="AE12" s="775">
        <v>727314</v>
      </c>
      <c r="AF12" s="775">
        <v>705428</v>
      </c>
      <c r="AG12" s="775">
        <v>684400</v>
      </c>
      <c r="AH12" s="775">
        <v>711363</v>
      </c>
      <c r="AI12" s="775">
        <v>605888</v>
      </c>
      <c r="AJ12" s="775">
        <v>696116</v>
      </c>
      <c r="AK12" s="775">
        <v>763078</v>
      </c>
    </row>
    <row r="13" spans="1:37" s="654" customFormat="1" ht="14.1" customHeight="1" x14ac:dyDescent="0.25">
      <c r="A13" s="2784" t="s">
        <v>2468</v>
      </c>
      <c r="B13" s="2786" t="s">
        <v>2117</v>
      </c>
      <c r="C13" s="1916"/>
      <c r="D13" s="772">
        <f>((F13*100/4457012)+(G13*100/4666092)+(H13*100/4564694)+(I13*100/3934071)+(J13*100/4887915)+(K13*100/4213444)+(L13*100/3969347)+(M13*100/4648398)+(N13*100/4423667)+(O13*100/4183633)+(P13*100/4598571)+(Q13*100/4650256)+(R13*100/4428442)+(S13*100/3615242)+(T13*100/5768156)+(U13*100/4495508)+(V13*100/4650166)+(W13*100/4800546)+(X13*100/5054225)+(Y13*100/4265815)+(Z13*100/4769289)+(AA13*100/4139514)+(AB13*100/4248764)+(AC13*100/4567817)+(AD13*100/6356919)+(AE13*100/4414836)+(AF13*100/5105832)+(AG13*100/5712519)+(AH13*100/11302195)+(AJ13*100/5427923)+(AK13*100/4134752))/31</f>
        <v>14.348249977289401</v>
      </c>
      <c r="E13" s="2788">
        <f xml:space="preserve"> 297.1+355.78+573.86+331.04+305.09+294.46+372.71+313.11+343.26+512.4+333.4+298.36+307.33+285.47+290.13+285.56+348.86+330+308.91+387.46+292.62+355.88+348.75+307.93+450.54+345.68+328.73+465.58+1348.43+503.76+375.2+424.82</f>
        <v>12422.210000000001</v>
      </c>
      <c r="F13" s="1426">
        <v>625101</v>
      </c>
      <c r="G13" s="1426">
        <v>631735</v>
      </c>
      <c r="H13" s="1426">
        <v>622941</v>
      </c>
      <c r="I13" s="1426">
        <v>661548</v>
      </c>
      <c r="J13" s="1426">
        <v>667913</v>
      </c>
      <c r="K13" s="1426">
        <v>628755</v>
      </c>
      <c r="L13" s="1426">
        <v>643999</v>
      </c>
      <c r="M13" s="1426">
        <v>711292</v>
      </c>
      <c r="N13" s="1426">
        <v>655178</v>
      </c>
      <c r="O13" s="1426">
        <v>740033</v>
      </c>
      <c r="P13" s="1426">
        <v>648349</v>
      </c>
      <c r="Q13" s="1426">
        <v>661281</v>
      </c>
      <c r="R13" s="1426">
        <v>684329</v>
      </c>
      <c r="S13" s="1426">
        <v>614806</v>
      </c>
      <c r="T13" s="1426">
        <v>678513</v>
      </c>
      <c r="U13" s="1426">
        <v>655063</v>
      </c>
      <c r="V13" s="1426">
        <v>713667</v>
      </c>
      <c r="W13" s="1426">
        <v>652222</v>
      </c>
      <c r="X13" s="1426">
        <v>698922</v>
      </c>
      <c r="Y13" s="1426">
        <v>782634</v>
      </c>
      <c r="Z13" s="1426">
        <v>679980</v>
      </c>
      <c r="AA13" s="1426">
        <v>677290</v>
      </c>
      <c r="AB13" s="1426">
        <v>674233</v>
      </c>
      <c r="AC13" s="1426">
        <v>231404</v>
      </c>
      <c r="AD13" s="1426">
        <v>877093</v>
      </c>
      <c r="AE13" s="1426">
        <v>727589</v>
      </c>
      <c r="AF13" s="1426">
        <v>705544</v>
      </c>
      <c r="AG13" s="1426">
        <v>694533</v>
      </c>
      <c r="AH13" s="1426">
        <v>774697</v>
      </c>
      <c r="AI13" s="1426">
        <v>655309</v>
      </c>
      <c r="AJ13" s="1426">
        <v>696502</v>
      </c>
      <c r="AK13" s="1426">
        <v>762449</v>
      </c>
    </row>
    <row r="14" spans="1:37" s="654" customFormat="1" ht="14.1" customHeight="1" x14ac:dyDescent="0.25">
      <c r="A14" s="4661" t="s">
        <v>2466</v>
      </c>
      <c r="B14" s="4662" t="s">
        <v>2117</v>
      </c>
      <c r="C14" s="1924"/>
      <c r="D14" s="772">
        <f t="shared" ref="D14:D42" si="1">((F14*100/4457012)+(G14*100/4666092)+(H14*100/4564694)+(I14*100/3934071)+(J14*100/4887915)+(K14*100/4213444)+(L14*100/3969347)+(M14*100/4648398)+(N14*100/4423667)+(O14*100/4183633)+(P14*100/4598571)+(Q14*100/4650256)+(R14*100/4428442)+(S14*100/3615242)+(T14*100/5768156)+(U14*100/4495508)+(V14*100/4650166)+(W14*100/4800546)+(X14*100/5054225)+(Y14*100/4265815)+(Z14*100/4769289)+(AA14*100/4139514)+(AB14*100/4248764)+(AC14*100/4567817)+(AD14*100/6356919)+(AE14*100/4414836)+(AF14*100/5105832)+(AG14*100/5712519)+(AH14*100/11302195)+(AJ14*100/5427923)+(AK14*100/4134752))/31</f>
        <v>14.377407265323624</v>
      </c>
      <c r="E14" s="3579">
        <f>257.44+332.89+523.52+305.95+280.3+274.6+331.3+285.7+306.82+415.83+257.51+253.97+267.72+256.44+263.46+249.72+323.16+329.99+332.5+355.7+298.89+302.46+324.89+285.63+391.89+289.65+275.96+350.14+1618.4+379.51+294.68+348.93</f>
        <v>11365.55</v>
      </c>
      <c r="F14" s="1921">
        <v>625176</v>
      </c>
      <c r="G14" s="1921">
        <v>631748</v>
      </c>
      <c r="H14" s="1921">
        <v>622841</v>
      </c>
      <c r="I14" s="1921">
        <v>661644</v>
      </c>
      <c r="J14" s="1921">
        <v>667997</v>
      </c>
      <c r="K14" s="1921">
        <v>628909</v>
      </c>
      <c r="L14" s="1921">
        <v>644147</v>
      </c>
      <c r="M14" s="1921">
        <v>711400</v>
      </c>
      <c r="N14" s="1921">
        <v>655240</v>
      </c>
      <c r="O14" s="1921">
        <v>740132</v>
      </c>
      <c r="P14" s="1921">
        <v>648447</v>
      </c>
      <c r="Q14" s="1921">
        <v>661410</v>
      </c>
      <c r="R14" s="1921">
        <v>684446</v>
      </c>
      <c r="S14" s="1921">
        <v>614939</v>
      </c>
      <c r="T14" s="1921">
        <v>678660</v>
      </c>
      <c r="U14" s="1921">
        <v>655149</v>
      </c>
      <c r="V14" s="1921">
        <v>713746</v>
      </c>
      <c r="W14" s="1921">
        <v>652280</v>
      </c>
      <c r="X14" s="1921">
        <v>699019</v>
      </c>
      <c r="Y14" s="1921">
        <v>782803</v>
      </c>
      <c r="Z14" s="1921">
        <v>680087</v>
      </c>
      <c r="AA14" s="1921">
        <v>677413</v>
      </c>
      <c r="AB14" s="1921">
        <v>674304</v>
      </c>
      <c r="AC14" s="1921">
        <v>231411</v>
      </c>
      <c r="AD14" s="1921">
        <v>877247</v>
      </c>
      <c r="AE14" s="1921">
        <v>727759</v>
      </c>
      <c r="AF14" s="1921">
        <v>705719</v>
      </c>
      <c r="AG14" s="1921">
        <v>694532</v>
      </c>
      <c r="AH14" s="1921">
        <v>869619</v>
      </c>
      <c r="AI14" s="1921">
        <v>655328</v>
      </c>
      <c r="AJ14" s="1921">
        <v>696636</v>
      </c>
      <c r="AK14" s="1921">
        <v>762571</v>
      </c>
    </row>
    <row r="15" spans="1:37" s="654" customFormat="1" ht="14.1" customHeight="1" x14ac:dyDescent="0.25">
      <c r="A15" s="1264" t="s">
        <v>2361</v>
      </c>
      <c r="B15" s="2785" t="s">
        <v>858</v>
      </c>
      <c r="C15" s="2781">
        <f>SUM(F15:AM15)</f>
        <v>21634677</v>
      </c>
      <c r="D15" s="772">
        <f t="shared" si="1"/>
        <v>14.406771882328243</v>
      </c>
      <c r="E15" s="3477">
        <f>282+370+569+340+310+300+366+307+340+458+291+286+296+283+293+278+348+313+319+376+292+308+305+292+351+287+286+1458+945+370+270+330</f>
        <v>12219</v>
      </c>
      <c r="F15" s="2783">
        <v>626913</v>
      </c>
      <c r="G15" s="2783">
        <v>639537</v>
      </c>
      <c r="H15" s="2783">
        <v>629373</v>
      </c>
      <c r="I15" s="2783">
        <v>659202</v>
      </c>
      <c r="J15" s="2783">
        <v>666830</v>
      </c>
      <c r="K15" s="2783">
        <v>632596</v>
      </c>
      <c r="L15" s="2783">
        <v>646803</v>
      </c>
      <c r="M15" s="2783">
        <v>713663</v>
      </c>
      <c r="N15" s="2783">
        <v>656466</v>
      </c>
      <c r="O15" s="2783">
        <v>742979</v>
      </c>
      <c r="P15" s="2783">
        <v>651428</v>
      </c>
      <c r="Q15" s="2783">
        <v>661920</v>
      </c>
      <c r="R15" s="2783">
        <v>688055</v>
      </c>
      <c r="S15" s="2783">
        <v>617838</v>
      </c>
      <c r="T15" s="2783">
        <v>679150</v>
      </c>
      <c r="U15" s="2783">
        <v>657321</v>
      </c>
      <c r="V15" s="2783">
        <v>716094</v>
      </c>
      <c r="W15" s="2783">
        <v>655199</v>
      </c>
      <c r="X15" s="2783">
        <v>701848</v>
      </c>
      <c r="Y15" s="2783">
        <v>784747</v>
      </c>
      <c r="Z15" s="2783">
        <v>681148</v>
      </c>
      <c r="AA15" s="2783">
        <v>679445</v>
      </c>
      <c r="AB15" s="2783">
        <v>675275</v>
      </c>
      <c r="AC15" s="2783">
        <v>240710</v>
      </c>
      <c r="AD15" s="2783">
        <v>880612</v>
      </c>
      <c r="AE15" s="2783">
        <v>727876</v>
      </c>
      <c r="AF15" s="2783">
        <v>710220</v>
      </c>
      <c r="AG15" s="2783">
        <v>698000</v>
      </c>
      <c r="AH15" s="2783">
        <v>795452</v>
      </c>
      <c r="AI15" s="2783">
        <v>658796</v>
      </c>
      <c r="AJ15" s="2783">
        <v>697349</v>
      </c>
      <c r="AK15" s="2783">
        <v>761832</v>
      </c>
    </row>
    <row r="16" spans="1:37" s="654" customFormat="1" ht="14.1" customHeight="1" x14ac:dyDescent="0.25">
      <c r="A16" s="1263" t="s">
        <v>2362</v>
      </c>
      <c r="B16" s="2787" t="s">
        <v>858</v>
      </c>
      <c r="C16" s="2781">
        <f>SUM(F16:AM16)</f>
        <v>21647958</v>
      </c>
      <c r="D16" s="772">
        <f t="shared" si="1"/>
        <v>14.420924361537331</v>
      </c>
      <c r="E16" s="3479"/>
      <c r="F16" s="2782">
        <v>627808</v>
      </c>
      <c r="G16" s="2782">
        <v>633055</v>
      </c>
      <c r="H16" s="2782">
        <v>627500</v>
      </c>
      <c r="I16" s="2782">
        <v>666245</v>
      </c>
      <c r="J16" s="2782">
        <v>671477</v>
      </c>
      <c r="K16" s="2782">
        <v>631142</v>
      </c>
      <c r="L16" s="2782">
        <v>646897</v>
      </c>
      <c r="M16" s="2782">
        <v>715638</v>
      </c>
      <c r="N16" s="2782">
        <v>658871</v>
      </c>
      <c r="O16" s="2782">
        <v>740945</v>
      </c>
      <c r="P16" s="2782">
        <v>651925</v>
      </c>
      <c r="Q16" s="2782">
        <v>664457</v>
      </c>
      <c r="R16" s="2782">
        <v>687477</v>
      </c>
      <c r="S16" s="2782">
        <v>617519</v>
      </c>
      <c r="T16" s="2782">
        <v>681708</v>
      </c>
      <c r="U16" s="2782">
        <v>657987</v>
      </c>
      <c r="V16" s="2782">
        <v>717568</v>
      </c>
      <c r="W16" s="2782">
        <v>655674</v>
      </c>
      <c r="X16" s="2782">
        <v>702203</v>
      </c>
      <c r="Y16" s="2782">
        <v>785969</v>
      </c>
      <c r="Z16" s="2782">
        <v>682920</v>
      </c>
      <c r="AA16" s="2782">
        <v>681091</v>
      </c>
      <c r="AB16" s="2782">
        <v>677201</v>
      </c>
      <c r="AC16" s="2782">
        <v>233753</v>
      </c>
      <c r="AD16" s="2782">
        <v>881348</v>
      </c>
      <c r="AE16" s="2782">
        <v>731967</v>
      </c>
      <c r="AF16" s="2782">
        <v>709296</v>
      </c>
      <c r="AG16" s="2782">
        <v>697886</v>
      </c>
      <c r="AH16" s="2782">
        <v>784072</v>
      </c>
      <c r="AI16" s="2782">
        <v>659309</v>
      </c>
      <c r="AJ16" s="2782">
        <v>699992</v>
      </c>
      <c r="AK16" s="2782">
        <v>767058</v>
      </c>
    </row>
    <row r="17" spans="1:37" s="654" customFormat="1" ht="14.1" customHeight="1" x14ac:dyDescent="0.25">
      <c r="A17" s="1264" t="s">
        <v>2363</v>
      </c>
      <c r="B17" s="2785" t="s">
        <v>858</v>
      </c>
      <c r="C17" s="2781">
        <f>SUM(F17:AM17)</f>
        <v>21661167</v>
      </c>
      <c r="D17" s="772">
        <f t="shared" si="1"/>
        <v>14.4303238220506</v>
      </c>
      <c r="E17" s="3477"/>
      <c r="F17" s="2783">
        <v>628240</v>
      </c>
      <c r="G17" s="2783">
        <v>633999</v>
      </c>
      <c r="H17" s="2783">
        <v>627500</v>
      </c>
      <c r="I17" s="2783">
        <v>666572</v>
      </c>
      <c r="J17" s="2783">
        <v>671787</v>
      </c>
      <c r="K17" s="2783">
        <v>631404</v>
      </c>
      <c r="L17" s="2783">
        <v>647578</v>
      </c>
      <c r="M17" s="2783">
        <v>715886</v>
      </c>
      <c r="N17" s="2783">
        <v>659767</v>
      </c>
      <c r="O17" s="2783">
        <v>741874</v>
      </c>
      <c r="P17" s="2783">
        <v>652237</v>
      </c>
      <c r="Q17" s="2783">
        <v>665255</v>
      </c>
      <c r="R17" s="2783">
        <v>687790</v>
      </c>
      <c r="S17" s="2783">
        <v>618190</v>
      </c>
      <c r="T17" s="2783">
        <v>682110</v>
      </c>
      <c r="U17" s="2783">
        <v>658881</v>
      </c>
      <c r="V17" s="2783">
        <v>718752</v>
      </c>
      <c r="W17" s="2783">
        <v>655761</v>
      </c>
      <c r="X17" s="2783">
        <v>702901</v>
      </c>
      <c r="Y17" s="2783">
        <v>786310</v>
      </c>
      <c r="Z17" s="2783">
        <v>683619</v>
      </c>
      <c r="AA17" s="2783">
        <v>681473</v>
      </c>
      <c r="AB17" s="2783">
        <v>677988</v>
      </c>
      <c r="AC17" s="2783">
        <v>230646</v>
      </c>
      <c r="AD17" s="2783">
        <v>881923</v>
      </c>
      <c r="AE17" s="2783">
        <v>732970</v>
      </c>
      <c r="AF17" s="2783">
        <v>710002</v>
      </c>
      <c r="AG17" s="2783">
        <v>697886</v>
      </c>
      <c r="AH17" s="2783">
        <v>784072</v>
      </c>
      <c r="AI17" s="2783">
        <v>659288</v>
      </c>
      <c r="AJ17" s="2783">
        <v>700871</v>
      </c>
      <c r="AK17" s="2783">
        <v>767635</v>
      </c>
    </row>
    <row r="18" spans="1:37" s="654" customFormat="1" ht="14.1" customHeight="1" x14ac:dyDescent="0.25">
      <c r="A18" s="1213" t="s">
        <v>2364</v>
      </c>
      <c r="B18" s="2787" t="s">
        <v>2117</v>
      </c>
      <c r="C18" s="2781">
        <f>SUM(F18:AM18)</f>
        <v>21727290</v>
      </c>
      <c r="D18" s="772">
        <f t="shared" si="1"/>
        <v>14.442900240050292</v>
      </c>
      <c r="E18" s="3479">
        <f>303+331+882+345+306+306+382+320+437+466+331+451+529+595+359+397+456+364+386+486+402+367+351+305+450+381+404+958+1608+399+308+355</f>
        <v>14720</v>
      </c>
      <c r="F18" s="2782">
        <v>625192</v>
      </c>
      <c r="G18" s="2782">
        <v>631716</v>
      </c>
      <c r="H18" s="2782">
        <v>701270</v>
      </c>
      <c r="I18" s="2782">
        <v>661613</v>
      </c>
      <c r="J18" s="2782">
        <v>668001</v>
      </c>
      <c r="K18" s="2782">
        <v>628890</v>
      </c>
      <c r="L18" s="2782">
        <v>644107</v>
      </c>
      <c r="M18" s="2782">
        <v>711423</v>
      </c>
      <c r="N18" s="2782">
        <v>655232</v>
      </c>
      <c r="O18" s="2782">
        <v>740265</v>
      </c>
      <c r="P18" s="2782">
        <v>648449</v>
      </c>
      <c r="Q18" s="2782">
        <v>661433</v>
      </c>
      <c r="R18" s="2782">
        <v>684451</v>
      </c>
      <c r="S18" s="2782">
        <v>614923</v>
      </c>
      <c r="T18" s="2782">
        <v>678692</v>
      </c>
      <c r="U18" s="2782">
        <v>655160</v>
      </c>
      <c r="V18" s="2782">
        <v>713734</v>
      </c>
      <c r="W18" s="2782">
        <v>652274</v>
      </c>
      <c r="X18" s="2782">
        <v>699036</v>
      </c>
      <c r="Y18" s="2782">
        <v>782812</v>
      </c>
      <c r="Z18" s="2782">
        <v>680097</v>
      </c>
      <c r="AA18" s="2782">
        <v>677422</v>
      </c>
      <c r="AB18" s="2782">
        <v>674314</v>
      </c>
      <c r="AC18" s="2782">
        <v>231429</v>
      </c>
      <c r="AD18" s="2782">
        <v>877242</v>
      </c>
      <c r="AE18" s="2782">
        <v>727778</v>
      </c>
      <c r="AF18" s="2782">
        <v>705742</v>
      </c>
      <c r="AG18" s="2782">
        <v>713532</v>
      </c>
      <c r="AH18" s="2782">
        <v>866794</v>
      </c>
      <c r="AI18" s="2782">
        <v>655036</v>
      </c>
      <c r="AJ18" s="2782">
        <v>696654</v>
      </c>
      <c r="AK18" s="2782">
        <v>762577</v>
      </c>
    </row>
    <row r="19" spans="1:37" s="654" customFormat="1" ht="14.1" customHeight="1" x14ac:dyDescent="0.25">
      <c r="A19" s="1264" t="s">
        <v>2365</v>
      </c>
      <c r="B19" s="2922" t="s">
        <v>1705</v>
      </c>
      <c r="C19" s="1916">
        <f>SUM(F19:AM19)</f>
        <v>21810665</v>
      </c>
      <c r="D19" s="772">
        <f t="shared" si="1"/>
        <v>14.498778847598706</v>
      </c>
      <c r="E19" s="3477">
        <f>238+318+623+287+257+256+308+263+290+378+240+240+251+242+250+255+308+274+267+319+248+259+259+246+331+268+262+569+1402+328+250+290</f>
        <v>10576</v>
      </c>
      <c r="F19" s="1922">
        <v>627303</v>
      </c>
      <c r="G19" s="1922">
        <v>634979</v>
      </c>
      <c r="H19" s="2925">
        <v>703532</v>
      </c>
      <c r="I19" s="1922">
        <v>665100</v>
      </c>
      <c r="J19" s="1922">
        <v>671206</v>
      </c>
      <c r="K19" s="1922">
        <v>630825</v>
      </c>
      <c r="L19" s="1922">
        <v>646215</v>
      </c>
      <c r="M19" s="1922">
        <v>714591</v>
      </c>
      <c r="N19" s="1922">
        <v>657935</v>
      </c>
      <c r="O19" s="1922">
        <v>743263</v>
      </c>
      <c r="P19" s="1922">
        <v>651218</v>
      </c>
      <c r="Q19" s="1922">
        <v>663736</v>
      </c>
      <c r="R19" s="1922">
        <v>686697</v>
      </c>
      <c r="S19" s="1922">
        <v>617049</v>
      </c>
      <c r="T19" s="1922">
        <v>681066</v>
      </c>
      <c r="U19" s="1922">
        <v>657435</v>
      </c>
      <c r="V19" s="1922">
        <v>716436</v>
      </c>
      <c r="W19" s="1922">
        <v>654921</v>
      </c>
      <c r="X19" s="1922">
        <v>701379</v>
      </c>
      <c r="Y19" s="1922">
        <v>785045</v>
      </c>
      <c r="Z19" s="1922">
        <v>682394</v>
      </c>
      <c r="AA19" s="1922">
        <v>680429</v>
      </c>
      <c r="AB19" s="1922">
        <v>676530</v>
      </c>
      <c r="AC19" s="1922">
        <v>232668</v>
      </c>
      <c r="AD19" s="1922">
        <v>879641</v>
      </c>
      <c r="AE19" s="1922">
        <v>731052</v>
      </c>
      <c r="AF19" s="1922">
        <v>708512</v>
      </c>
      <c r="AG19" s="1922">
        <v>718512</v>
      </c>
      <c r="AH19" s="1922">
        <v>866785</v>
      </c>
      <c r="AI19" s="1922">
        <v>658777</v>
      </c>
      <c r="AJ19" s="1922">
        <v>699273</v>
      </c>
      <c r="AK19" s="1922">
        <v>766161</v>
      </c>
    </row>
    <row r="20" spans="1:37" s="654" customFormat="1" ht="14.1" customHeight="1" x14ac:dyDescent="0.25">
      <c r="A20" s="4671" t="s">
        <v>2360</v>
      </c>
      <c r="B20" s="4672" t="s">
        <v>2359</v>
      </c>
      <c r="C20" s="2924"/>
      <c r="D20" s="772">
        <f t="shared" si="1"/>
        <v>14.542695419778905</v>
      </c>
      <c r="E20" s="3579">
        <f>196.1+200.9+251.1+218.2+263.8+220.1+(245.2)+247.5+184.4+288.5+195+201.2+254.3+(234.5+224.9)+161.4+270.4+230+225.7+245.3+204.9+223.1+235.4+169.9+286+250.5+198.9+216.3+611.1+249+218.8+239</f>
        <v>7661.4000000000005</v>
      </c>
      <c r="F20" s="1426">
        <v>629690</v>
      </c>
      <c r="G20" s="1426">
        <v>618331</v>
      </c>
      <c r="H20" s="1426">
        <v>615309</v>
      </c>
      <c r="I20" s="1426">
        <v>643446</v>
      </c>
      <c r="J20" s="1426">
        <v>694942</v>
      </c>
      <c r="K20" s="1426">
        <v>659384</v>
      </c>
      <c r="L20" s="1426">
        <v>674739</v>
      </c>
      <c r="M20" s="1426">
        <v>720179</v>
      </c>
      <c r="N20" s="1426">
        <v>659069</v>
      </c>
      <c r="O20" s="1426">
        <v>728360</v>
      </c>
      <c r="P20" s="1426">
        <v>672840</v>
      </c>
      <c r="Q20" s="1426">
        <v>673443</v>
      </c>
      <c r="R20" s="1426">
        <v>706397</v>
      </c>
      <c r="S20" s="1426">
        <v>635376</v>
      </c>
      <c r="T20" s="1426">
        <v>692647</v>
      </c>
      <c r="U20" s="1426">
        <v>681111</v>
      </c>
      <c r="V20" s="1426">
        <v>739172</v>
      </c>
      <c r="W20" s="1426">
        <v>665007</v>
      </c>
      <c r="X20" s="1426">
        <v>703533</v>
      </c>
      <c r="Y20" s="1426">
        <v>797890</v>
      </c>
      <c r="Z20" s="1426">
        <v>686991</v>
      </c>
      <c r="AA20" s="1426">
        <v>687067</v>
      </c>
      <c r="AB20" s="1426">
        <v>683896</v>
      </c>
      <c r="AC20" s="1426">
        <v>235706</v>
      </c>
      <c r="AD20" s="1426">
        <v>896405</v>
      </c>
      <c r="AE20" s="1426">
        <v>726324</v>
      </c>
      <c r="AF20" s="1426">
        <v>693671</v>
      </c>
      <c r="AG20" s="1426">
        <v>699457</v>
      </c>
      <c r="AH20" s="1426">
        <v>782935</v>
      </c>
      <c r="AI20" s="1426">
        <v>625121</v>
      </c>
      <c r="AJ20" s="1426">
        <v>699915</v>
      </c>
      <c r="AK20" s="1426">
        <v>756911</v>
      </c>
    </row>
    <row r="21" spans="1:37" s="654" customFormat="1" ht="14.1" customHeight="1" x14ac:dyDescent="0.25">
      <c r="A21" s="4663" t="s">
        <v>2467</v>
      </c>
      <c r="B21" s="2786" t="s">
        <v>1705</v>
      </c>
      <c r="C21" s="1916"/>
      <c r="D21" s="772">
        <f t="shared" si="1"/>
        <v>14.568777063787511</v>
      </c>
      <c r="E21" s="2788">
        <f>441.12+482.22+585.96+492.73+602.85+493.21+601.9+504.4+429.29+604.03+452.1+405.37+466.03+451.95+459.03+452.29+532.73+510.63+507.62+ 543.48+468.86+ 514.79+492.73+382.56+518.24+443.85+416.38+393.96+988.78+497.93+470.04+460.46</f>
        <v>16067.519999999999</v>
      </c>
      <c r="F21" s="1922">
        <v>634933</v>
      </c>
      <c r="G21" s="1922">
        <v>613323</v>
      </c>
      <c r="H21" s="1922">
        <v>623731</v>
      </c>
      <c r="I21" s="1922">
        <v>641085</v>
      </c>
      <c r="J21" s="1922">
        <v>693394</v>
      </c>
      <c r="K21" s="1922">
        <v>664273</v>
      </c>
      <c r="L21" s="1922">
        <v>668049</v>
      </c>
      <c r="M21" s="1922">
        <v>725969</v>
      </c>
      <c r="N21" s="1922">
        <v>653827</v>
      </c>
      <c r="O21" s="1922">
        <v>724827</v>
      </c>
      <c r="P21" s="1922">
        <v>675128</v>
      </c>
      <c r="Q21" s="1922">
        <v>677325</v>
      </c>
      <c r="R21" s="1922">
        <v>710959</v>
      </c>
      <c r="S21" s="1922">
        <v>640910</v>
      </c>
      <c r="T21" s="1922">
        <v>698953</v>
      </c>
      <c r="U21" s="1922">
        <v>677503</v>
      </c>
      <c r="V21" s="1922">
        <v>732638</v>
      </c>
      <c r="W21" s="1922">
        <v>672567</v>
      </c>
      <c r="X21" s="1922">
        <v>712222</v>
      </c>
      <c r="Y21" s="1922">
        <v>793930</v>
      </c>
      <c r="Z21" s="1922">
        <v>696588</v>
      </c>
      <c r="AA21" s="1922">
        <v>690910</v>
      </c>
      <c r="AB21" s="1922">
        <v>691663</v>
      </c>
      <c r="AC21" s="1922">
        <v>220859</v>
      </c>
      <c r="AD21" s="1922">
        <v>886537</v>
      </c>
      <c r="AE21" s="1922">
        <v>729528</v>
      </c>
      <c r="AF21" s="1922">
        <v>698363</v>
      </c>
      <c r="AG21" s="1922">
        <v>699374</v>
      </c>
      <c r="AH21" s="1922">
        <v>776941</v>
      </c>
      <c r="AI21" s="1922">
        <v>623373</v>
      </c>
      <c r="AJ21" s="1922">
        <v>705678</v>
      </c>
      <c r="AK21" s="1922">
        <v>761422</v>
      </c>
    </row>
    <row r="22" spans="1:37" s="654" customFormat="1" ht="14.1" customHeight="1" x14ac:dyDescent="0.25">
      <c r="A22" s="4664" t="s">
        <v>2358</v>
      </c>
      <c r="B22" s="4665" t="s">
        <v>1705</v>
      </c>
      <c r="C22" s="778"/>
      <c r="D22" s="772">
        <f t="shared" si="1"/>
        <v>14.586453585542301</v>
      </c>
      <c r="E22" s="3579">
        <f>440.59+464.55+626.23+493.28+633.73+487.23+599.82+533.74+441.38+574.46+420.14+384.88+479.57+ 458.04+553.59+438.74+600.75+645.4+602.09+657.81+546.61+571.17+505.63+ 403.08+ 548.84+483.12+457.61+432.27+1124.28+ 583.28+506.91+506.64</f>
        <v>17205.460000000003</v>
      </c>
      <c r="F22" s="1921">
        <v>636284</v>
      </c>
      <c r="G22" s="1921">
        <v>614186</v>
      </c>
      <c r="H22" s="1921">
        <v>623839</v>
      </c>
      <c r="I22" s="1921">
        <v>641516</v>
      </c>
      <c r="J22" s="1921">
        <v>693740</v>
      </c>
      <c r="K22" s="1921">
        <v>664812</v>
      </c>
      <c r="L22" s="1921">
        <v>668646</v>
      </c>
      <c r="M22" s="1921">
        <v>727337</v>
      </c>
      <c r="N22" s="1921">
        <v>654483</v>
      </c>
      <c r="O22" s="1921">
        <v>725838</v>
      </c>
      <c r="P22" s="1921">
        <v>675810</v>
      </c>
      <c r="Q22" s="1921">
        <v>678537</v>
      </c>
      <c r="R22" s="1921">
        <v>712066</v>
      </c>
      <c r="S22" s="1921">
        <v>641791</v>
      </c>
      <c r="T22" s="1921">
        <v>700441</v>
      </c>
      <c r="U22" s="1921">
        <v>678185</v>
      </c>
      <c r="V22" s="1921">
        <v>733208</v>
      </c>
      <c r="W22" s="1921">
        <v>673373</v>
      </c>
      <c r="X22" s="1921">
        <v>713143</v>
      </c>
      <c r="Y22" s="1921">
        <v>795199</v>
      </c>
      <c r="Z22" s="1921">
        <v>697549</v>
      </c>
      <c r="AA22" s="1921">
        <v>691891</v>
      </c>
      <c r="AB22" s="1921">
        <v>692515</v>
      </c>
      <c r="AC22" s="1921">
        <v>221047</v>
      </c>
      <c r="AD22" s="1921">
        <v>887943</v>
      </c>
      <c r="AE22" s="1921">
        <v>730727</v>
      </c>
      <c r="AF22" s="1921">
        <v>699103</v>
      </c>
      <c r="AG22" s="1921">
        <v>699696</v>
      </c>
      <c r="AH22" s="1921">
        <v>776911</v>
      </c>
      <c r="AI22" s="1921">
        <v>623873</v>
      </c>
      <c r="AJ22" s="1921">
        <v>706630</v>
      </c>
      <c r="AK22" s="1921">
        <v>762231</v>
      </c>
    </row>
    <row r="23" spans="1:37" s="654" customFormat="1" ht="14.1" customHeight="1" x14ac:dyDescent="0.25">
      <c r="A23" s="1914" t="s">
        <v>2366</v>
      </c>
      <c r="B23" s="2922" t="s">
        <v>858</v>
      </c>
      <c r="C23" s="1916">
        <f t="shared" ref="C23:C36" si="2">SUM(F23:AM23)</f>
        <v>22015914</v>
      </c>
      <c r="D23" s="772">
        <f t="shared" si="1"/>
        <v>14.705329837239034</v>
      </c>
      <c r="E23" s="3477">
        <f>477+533+656+578+707+545+715+583+508+739+530+465+527+503+510+490+636+536+609+626+506+549+533+413+565+506+504+466+1315+616+529+586</f>
        <v>18561</v>
      </c>
      <c r="F23" s="1922">
        <v>641745</v>
      </c>
      <c r="G23" s="1922">
        <v>617588</v>
      </c>
      <c r="H23" s="1922">
        <v>631880</v>
      </c>
      <c r="I23" s="1922">
        <v>645680</v>
      </c>
      <c r="J23" s="1922">
        <v>697860</v>
      </c>
      <c r="K23" s="1922">
        <v>668030</v>
      </c>
      <c r="L23" s="1922">
        <v>673122</v>
      </c>
      <c r="M23" s="1922">
        <v>732720</v>
      </c>
      <c r="N23" s="1922">
        <v>659576</v>
      </c>
      <c r="O23" s="1922">
        <v>741305</v>
      </c>
      <c r="P23" s="1922">
        <v>680717</v>
      </c>
      <c r="Q23" s="1922">
        <v>683686</v>
      </c>
      <c r="R23" s="1922">
        <v>716205</v>
      </c>
      <c r="S23" s="1922">
        <v>647755</v>
      </c>
      <c r="T23" s="1922">
        <v>705720</v>
      </c>
      <c r="U23" s="1922">
        <v>683075</v>
      </c>
      <c r="V23" s="1922">
        <v>738958</v>
      </c>
      <c r="W23" s="1922">
        <v>678688</v>
      </c>
      <c r="X23" s="1922">
        <v>718538</v>
      </c>
      <c r="Y23" s="1922">
        <v>801350</v>
      </c>
      <c r="Z23" s="1922">
        <v>703478</v>
      </c>
      <c r="AA23" s="1922">
        <v>697638</v>
      </c>
      <c r="AB23" s="1922">
        <v>699206</v>
      </c>
      <c r="AC23" s="1922">
        <v>226763</v>
      </c>
      <c r="AD23" s="1922">
        <v>896480</v>
      </c>
      <c r="AE23" s="1922">
        <v>735399</v>
      </c>
      <c r="AF23" s="1922">
        <v>704118</v>
      </c>
      <c r="AG23" s="1922">
        <v>700185</v>
      </c>
      <c r="AH23" s="1922">
        <v>783821</v>
      </c>
      <c r="AI23" s="1922">
        <v>625636</v>
      </c>
      <c r="AJ23" s="1922">
        <v>711251</v>
      </c>
      <c r="AK23" s="1922">
        <v>767741</v>
      </c>
    </row>
    <row r="24" spans="1:37" s="654" customFormat="1" ht="14.1" customHeight="1" x14ac:dyDescent="0.25">
      <c r="A24" s="1913" t="s">
        <v>2367</v>
      </c>
      <c r="B24" s="1900" t="s">
        <v>858</v>
      </c>
      <c r="C24" s="1901">
        <f t="shared" si="2"/>
        <v>22167189</v>
      </c>
      <c r="D24" s="772">
        <f t="shared" si="1"/>
        <v>14.796685945333712</v>
      </c>
      <c r="E24" s="3146"/>
      <c r="F24" s="773">
        <v>644800</v>
      </c>
      <c r="G24" s="773">
        <v>620860</v>
      </c>
      <c r="H24" s="773">
        <v>635949</v>
      </c>
      <c r="I24" s="773">
        <v>649650</v>
      </c>
      <c r="J24" s="773">
        <v>703170</v>
      </c>
      <c r="K24" s="773">
        <v>672292</v>
      </c>
      <c r="L24" s="773">
        <v>677403</v>
      </c>
      <c r="M24" s="773">
        <v>737793</v>
      </c>
      <c r="N24" s="773">
        <v>662553</v>
      </c>
      <c r="O24" s="773">
        <v>748594</v>
      </c>
      <c r="P24" s="773">
        <v>684689</v>
      </c>
      <c r="Q24" s="773">
        <v>687109</v>
      </c>
      <c r="R24" s="773">
        <v>719984</v>
      </c>
      <c r="S24" s="773">
        <v>651465</v>
      </c>
      <c r="T24" s="773">
        <v>710025</v>
      </c>
      <c r="U24" s="773">
        <v>686654</v>
      </c>
      <c r="V24" s="773">
        <v>742802</v>
      </c>
      <c r="W24" s="773">
        <v>682218</v>
      </c>
      <c r="X24" s="773">
        <v>721706</v>
      </c>
      <c r="Y24" s="773">
        <v>804444</v>
      </c>
      <c r="Z24" s="773">
        <v>706772</v>
      </c>
      <c r="AA24" s="773">
        <v>701248</v>
      </c>
      <c r="AB24" s="773">
        <v>702718</v>
      </c>
      <c r="AC24" s="773">
        <v>231443</v>
      </c>
      <c r="AD24" s="773">
        <v>899400</v>
      </c>
      <c r="AE24" s="773">
        <v>738661</v>
      </c>
      <c r="AF24" s="773">
        <v>707912</v>
      </c>
      <c r="AG24" s="773">
        <v>703286</v>
      </c>
      <c r="AH24" s="773">
        <v>814715</v>
      </c>
      <c r="AI24" s="773">
        <v>629585</v>
      </c>
      <c r="AJ24" s="773">
        <v>715136</v>
      </c>
      <c r="AK24" s="773">
        <v>772153</v>
      </c>
    </row>
    <row r="25" spans="1:37" s="654" customFormat="1" ht="14.1" customHeight="1" x14ac:dyDescent="0.25">
      <c r="A25" s="3143" t="s">
        <v>2687</v>
      </c>
      <c r="B25" s="1915" t="s">
        <v>859</v>
      </c>
      <c r="C25" s="1916">
        <f t="shared" si="2"/>
        <v>22220596</v>
      </c>
      <c r="D25" s="774">
        <f t="shared" si="1"/>
        <v>14.83581759342321</v>
      </c>
      <c r="E25" s="3477"/>
      <c r="F25" s="773">
        <v>649898</v>
      </c>
      <c r="G25" s="773">
        <v>622272</v>
      </c>
      <c r="H25" s="773">
        <v>634382</v>
      </c>
      <c r="I25" s="773">
        <v>652099</v>
      </c>
      <c r="J25" s="773">
        <v>707466</v>
      </c>
      <c r="K25" s="773">
        <v>680033</v>
      </c>
      <c r="L25" s="773">
        <v>683593</v>
      </c>
      <c r="M25" s="773">
        <v>743384</v>
      </c>
      <c r="N25" s="773">
        <v>666724</v>
      </c>
      <c r="O25" s="773">
        <v>740079</v>
      </c>
      <c r="P25" s="773">
        <v>684061</v>
      </c>
      <c r="Q25" s="773">
        <v>692172</v>
      </c>
      <c r="R25" s="773">
        <v>719196</v>
      </c>
      <c r="S25" s="773">
        <v>628583</v>
      </c>
      <c r="T25" s="773">
        <v>714265</v>
      </c>
      <c r="U25" s="773">
        <v>692336</v>
      </c>
      <c r="V25" s="773">
        <v>750057</v>
      </c>
      <c r="W25" s="773">
        <v>689088</v>
      </c>
      <c r="X25" s="773">
        <v>726776</v>
      </c>
      <c r="Y25" s="773">
        <v>809078</v>
      </c>
      <c r="Z25" s="773">
        <v>710262</v>
      </c>
      <c r="AA25" s="773">
        <v>705327</v>
      </c>
      <c r="AB25" s="773">
        <v>705507</v>
      </c>
      <c r="AC25" s="773">
        <v>232199</v>
      </c>
      <c r="AD25" s="773">
        <v>903726</v>
      </c>
      <c r="AE25" s="773">
        <v>742356</v>
      </c>
      <c r="AF25" s="773">
        <v>709991</v>
      </c>
      <c r="AG25" s="773">
        <v>705513</v>
      </c>
      <c r="AH25" s="773">
        <v>791268</v>
      </c>
      <c r="AI25" s="773">
        <v>633446</v>
      </c>
      <c r="AJ25" s="773">
        <v>719654</v>
      </c>
      <c r="AK25" s="773">
        <v>775805</v>
      </c>
    </row>
    <row r="26" spans="1:37" s="654" customFormat="1" ht="14.1" customHeight="1" x14ac:dyDescent="0.25">
      <c r="A26" s="1213" t="s">
        <v>2686</v>
      </c>
      <c r="B26" s="1900" t="s">
        <v>858</v>
      </c>
      <c r="C26" s="1901">
        <f t="shared" si="2"/>
        <v>22334958</v>
      </c>
      <c r="D26" s="774">
        <f t="shared" si="1"/>
        <v>14.912006388856318</v>
      </c>
      <c r="E26" s="3146"/>
      <c r="F26" s="1921">
        <v>652213</v>
      </c>
      <c r="G26" s="1921">
        <v>623046</v>
      </c>
      <c r="H26" s="1921">
        <v>645641</v>
      </c>
      <c r="I26" s="1921">
        <v>657681</v>
      </c>
      <c r="J26" s="1921">
        <v>710552</v>
      </c>
      <c r="K26" s="1921">
        <v>681787</v>
      </c>
      <c r="L26" s="1921">
        <v>687731</v>
      </c>
      <c r="M26" s="1921">
        <v>745648</v>
      </c>
      <c r="N26" s="1921">
        <v>670999</v>
      </c>
      <c r="O26" s="1921">
        <v>741918</v>
      </c>
      <c r="P26" s="1921">
        <v>692496</v>
      </c>
      <c r="Q26" s="1921">
        <v>693506</v>
      </c>
      <c r="R26" s="1921">
        <v>727912</v>
      </c>
      <c r="S26" s="1921">
        <v>632735</v>
      </c>
      <c r="T26" s="1921">
        <v>716162</v>
      </c>
      <c r="U26" s="1921">
        <v>692855</v>
      </c>
      <c r="V26" s="1921">
        <v>752957</v>
      </c>
      <c r="W26" s="1921">
        <v>689714</v>
      </c>
      <c r="X26" s="1921">
        <v>728787</v>
      </c>
      <c r="Y26" s="1921">
        <v>813889</v>
      </c>
      <c r="Z26" s="1921">
        <v>713038</v>
      </c>
      <c r="AA26" s="1921">
        <v>708596</v>
      </c>
      <c r="AB26" s="1921">
        <v>709929</v>
      </c>
      <c r="AC26" s="1921">
        <v>230987</v>
      </c>
      <c r="AD26" s="1921">
        <v>909189</v>
      </c>
      <c r="AE26" s="1921">
        <v>745192</v>
      </c>
      <c r="AF26" s="1921">
        <v>714497</v>
      </c>
      <c r="AG26" s="1921">
        <v>711185</v>
      </c>
      <c r="AH26" s="1921">
        <v>800732</v>
      </c>
      <c r="AI26" s="1921">
        <v>634780</v>
      </c>
      <c r="AJ26" s="1921">
        <v>719993</v>
      </c>
      <c r="AK26" s="1921">
        <v>778611</v>
      </c>
    </row>
    <row r="27" spans="1:37" s="654" customFormat="1" ht="14.1" customHeight="1" x14ac:dyDescent="0.25">
      <c r="A27" s="1914" t="s">
        <v>2368</v>
      </c>
      <c r="B27" s="1915" t="s">
        <v>858</v>
      </c>
      <c r="C27" s="1916">
        <f t="shared" si="2"/>
        <v>22360825</v>
      </c>
      <c r="D27" s="774">
        <f t="shared" si="1"/>
        <v>14.935227660413373</v>
      </c>
      <c r="E27" s="3477"/>
      <c r="F27" s="1922">
        <v>652213</v>
      </c>
      <c r="G27" s="1922">
        <v>623076</v>
      </c>
      <c r="H27" s="1922">
        <v>645641</v>
      </c>
      <c r="I27" s="1922">
        <v>657681</v>
      </c>
      <c r="J27" s="1922">
        <v>710523</v>
      </c>
      <c r="K27" s="1922">
        <v>681787</v>
      </c>
      <c r="L27" s="1922">
        <v>687702</v>
      </c>
      <c r="M27" s="1922">
        <v>745648</v>
      </c>
      <c r="N27" s="1922">
        <v>670999</v>
      </c>
      <c r="O27" s="1922">
        <v>741918</v>
      </c>
      <c r="P27" s="1922">
        <v>692537</v>
      </c>
      <c r="Q27" s="1922">
        <v>693506</v>
      </c>
      <c r="R27" s="1922">
        <v>726599</v>
      </c>
      <c r="S27" s="1922">
        <v>659607</v>
      </c>
      <c r="T27" s="1922">
        <v>716228</v>
      </c>
      <c r="U27" s="1922">
        <v>692826</v>
      </c>
      <c r="V27" s="1922">
        <v>752957</v>
      </c>
      <c r="W27" s="1922">
        <v>689945</v>
      </c>
      <c r="X27" s="1922">
        <v>728787</v>
      </c>
      <c r="Y27" s="1922">
        <v>813889</v>
      </c>
      <c r="Z27" s="1922">
        <v>713038</v>
      </c>
      <c r="AA27" s="1922">
        <v>708596</v>
      </c>
      <c r="AB27" s="1922">
        <v>709929</v>
      </c>
      <c r="AC27" s="1922">
        <v>230987</v>
      </c>
      <c r="AD27" s="1922">
        <v>909218</v>
      </c>
      <c r="AE27" s="1922">
        <v>745192</v>
      </c>
      <c r="AF27" s="1922">
        <v>714497</v>
      </c>
      <c r="AG27" s="1922">
        <v>711214</v>
      </c>
      <c r="AH27" s="1922">
        <v>800701</v>
      </c>
      <c r="AI27" s="1922">
        <v>634780</v>
      </c>
      <c r="AJ27" s="1922">
        <v>719993</v>
      </c>
      <c r="AK27" s="1922">
        <v>778611</v>
      </c>
    </row>
    <row r="28" spans="1:37" s="654" customFormat="1" ht="14.1" customHeight="1" x14ac:dyDescent="0.25">
      <c r="A28" s="1913" t="s">
        <v>2397</v>
      </c>
      <c r="B28" s="1900" t="s">
        <v>858</v>
      </c>
      <c r="C28" s="1901">
        <f t="shared" si="2"/>
        <v>22479027</v>
      </c>
      <c r="D28" s="774">
        <f t="shared" si="1"/>
        <v>15.009801926714644</v>
      </c>
      <c r="E28" s="3146"/>
      <c r="F28" s="775">
        <v>658899</v>
      </c>
      <c r="G28" s="775">
        <v>625916</v>
      </c>
      <c r="H28" s="775">
        <v>652341</v>
      </c>
      <c r="I28" s="775">
        <v>657681</v>
      </c>
      <c r="J28" s="775">
        <v>714865</v>
      </c>
      <c r="K28" s="775">
        <v>687548</v>
      </c>
      <c r="L28" s="775">
        <v>690966</v>
      </c>
      <c r="M28" s="775">
        <v>752289</v>
      </c>
      <c r="N28" s="775">
        <v>678734</v>
      </c>
      <c r="O28" s="775">
        <v>748408</v>
      </c>
      <c r="P28" s="775">
        <v>691803</v>
      </c>
      <c r="Q28" s="775">
        <v>702842</v>
      </c>
      <c r="R28" s="775">
        <v>726056</v>
      </c>
      <c r="S28" s="775">
        <v>641370</v>
      </c>
      <c r="T28" s="775">
        <v>712961</v>
      </c>
      <c r="U28" s="775">
        <v>671466</v>
      </c>
      <c r="V28" s="775">
        <v>757487</v>
      </c>
      <c r="W28" s="775">
        <v>675344</v>
      </c>
      <c r="X28" s="775">
        <v>736634</v>
      </c>
      <c r="Y28" s="775">
        <v>821668</v>
      </c>
      <c r="Z28" s="775">
        <v>722598</v>
      </c>
      <c r="AA28" s="775">
        <v>716516</v>
      </c>
      <c r="AB28" s="775">
        <v>720265</v>
      </c>
      <c r="AC28" s="775">
        <v>232064</v>
      </c>
      <c r="AD28" s="775">
        <v>918389</v>
      </c>
      <c r="AE28" s="775">
        <v>765482</v>
      </c>
      <c r="AF28" s="775">
        <v>722918</v>
      </c>
      <c r="AG28" s="775">
        <v>714338</v>
      </c>
      <c r="AH28" s="775">
        <v>807578</v>
      </c>
      <c r="AI28" s="775">
        <v>638184</v>
      </c>
      <c r="AJ28" s="775">
        <v>727499</v>
      </c>
      <c r="AK28" s="775">
        <v>787918</v>
      </c>
    </row>
    <row r="29" spans="1:37" s="654" customFormat="1" ht="14.1" customHeight="1" x14ac:dyDescent="0.25">
      <c r="A29" s="1914" t="s">
        <v>2369</v>
      </c>
      <c r="B29" s="2922" t="s">
        <v>858</v>
      </c>
      <c r="C29" s="1916">
        <f t="shared" si="2"/>
        <v>22722510</v>
      </c>
      <c r="D29" s="774">
        <f t="shared" si="1"/>
        <v>15.026102181257144</v>
      </c>
      <c r="E29" s="3477">
        <f>476+763+945+637+877+534+610+657+548+1020+558+523+536+384+527+490+618+543+554+555+510+594+532+591+607+602+487+723+2040+823+561+614</f>
        <v>21039</v>
      </c>
      <c r="F29" s="775">
        <v>632796</v>
      </c>
      <c r="G29" s="775">
        <v>697038</v>
      </c>
      <c r="H29" s="775">
        <v>775506</v>
      </c>
      <c r="I29" s="775">
        <v>651242</v>
      </c>
      <c r="J29" s="775">
        <v>725540</v>
      </c>
      <c r="K29" s="775">
        <v>654250</v>
      </c>
      <c r="L29" s="775">
        <v>661098</v>
      </c>
      <c r="M29" s="775">
        <v>730052</v>
      </c>
      <c r="N29" s="775">
        <v>659794</v>
      </c>
      <c r="O29" s="775">
        <v>895365</v>
      </c>
      <c r="P29" s="775">
        <v>666736</v>
      </c>
      <c r="Q29" s="775">
        <v>677726</v>
      </c>
      <c r="R29" s="775">
        <v>702902</v>
      </c>
      <c r="S29" s="775">
        <v>604533</v>
      </c>
      <c r="T29" s="775">
        <v>695926</v>
      </c>
      <c r="U29" s="775">
        <v>675680</v>
      </c>
      <c r="V29" s="775">
        <v>735407</v>
      </c>
      <c r="W29" s="775">
        <v>670768</v>
      </c>
      <c r="X29" s="775">
        <v>707649</v>
      </c>
      <c r="Y29" s="775">
        <v>789982</v>
      </c>
      <c r="Z29" s="775">
        <v>694401</v>
      </c>
      <c r="AA29" s="775">
        <v>696587</v>
      </c>
      <c r="AB29" s="775">
        <v>689193</v>
      </c>
      <c r="AC29" s="775">
        <v>302075</v>
      </c>
      <c r="AD29" s="775">
        <v>888653</v>
      </c>
      <c r="AE29" s="775">
        <v>738252</v>
      </c>
      <c r="AF29" s="775">
        <v>696809</v>
      </c>
      <c r="AG29" s="775">
        <v>729371</v>
      </c>
      <c r="AH29" s="775">
        <v>1123109</v>
      </c>
      <c r="AI29" s="775">
        <v>672879</v>
      </c>
      <c r="AJ29" s="775">
        <v>709201</v>
      </c>
      <c r="AK29" s="775">
        <v>771990</v>
      </c>
    </row>
    <row r="30" spans="1:37" s="654" customFormat="1" ht="14.1" customHeight="1" x14ac:dyDescent="0.25">
      <c r="A30" s="3129" t="s">
        <v>2685</v>
      </c>
      <c r="B30" s="1900" t="s">
        <v>858</v>
      </c>
      <c r="C30" s="1901">
        <f t="shared" si="2"/>
        <v>22604951</v>
      </c>
      <c r="D30" s="774">
        <f t="shared" si="1"/>
        <v>15.071913313085807</v>
      </c>
      <c r="E30" s="3146"/>
      <c r="F30" s="1921">
        <v>656470</v>
      </c>
      <c r="G30" s="1921">
        <v>635581</v>
      </c>
      <c r="H30" s="1921">
        <v>668913</v>
      </c>
      <c r="I30" s="1921">
        <v>674776</v>
      </c>
      <c r="J30" s="1921">
        <v>714740</v>
      </c>
      <c r="K30" s="1921">
        <v>680986</v>
      </c>
      <c r="L30" s="1921">
        <v>702160</v>
      </c>
      <c r="M30" s="1921">
        <v>747311</v>
      </c>
      <c r="N30" s="1921">
        <v>690742</v>
      </c>
      <c r="O30" s="1921">
        <v>751123</v>
      </c>
      <c r="P30" s="1921">
        <v>692892</v>
      </c>
      <c r="Q30" s="1921">
        <v>693945</v>
      </c>
      <c r="R30" s="1921">
        <v>725717</v>
      </c>
      <c r="S30" s="1921">
        <v>661317</v>
      </c>
      <c r="T30" s="1921">
        <v>715915</v>
      </c>
      <c r="U30" s="1921">
        <v>694760</v>
      </c>
      <c r="V30" s="1921">
        <v>711176</v>
      </c>
      <c r="W30" s="1921">
        <v>693433</v>
      </c>
      <c r="X30" s="1921">
        <v>730940</v>
      </c>
      <c r="Y30" s="1921">
        <v>835575</v>
      </c>
      <c r="Z30" s="1921">
        <v>716458</v>
      </c>
      <c r="AA30" s="1921">
        <v>714448</v>
      </c>
      <c r="AB30" s="1921">
        <v>711176</v>
      </c>
      <c r="AC30" s="1921">
        <v>232966</v>
      </c>
      <c r="AD30" s="1921">
        <v>930601</v>
      </c>
      <c r="AE30" s="1921">
        <v>752851</v>
      </c>
      <c r="AF30" s="1921">
        <v>723697</v>
      </c>
      <c r="AG30" s="1921">
        <v>718679</v>
      </c>
      <c r="AH30" s="1921">
        <v>868088</v>
      </c>
      <c r="AI30" s="1921">
        <v>645977</v>
      </c>
      <c r="AJ30" s="1921">
        <v>724682</v>
      </c>
      <c r="AK30" s="1921">
        <v>786856</v>
      </c>
    </row>
    <row r="31" spans="1:37" s="654" customFormat="1" ht="14.1" customHeight="1" x14ac:dyDescent="0.25">
      <c r="A31" s="1914" t="s">
        <v>2370</v>
      </c>
      <c r="B31" s="1915" t="s">
        <v>858</v>
      </c>
      <c r="C31" s="1916">
        <f t="shared" si="2"/>
        <v>22793984</v>
      </c>
      <c r="D31" s="774">
        <f t="shared" si="1"/>
        <v>15.07665112838556</v>
      </c>
      <c r="E31" s="3477"/>
      <c r="F31" s="1922">
        <v>631853</v>
      </c>
      <c r="G31" s="1922">
        <v>696480</v>
      </c>
      <c r="H31" s="1922">
        <v>774920</v>
      </c>
      <c r="I31" s="1922">
        <v>658356</v>
      </c>
      <c r="J31" s="1922">
        <v>729664</v>
      </c>
      <c r="K31" s="1922">
        <v>658255</v>
      </c>
      <c r="L31" s="1922">
        <v>663605</v>
      </c>
      <c r="M31" s="1922">
        <v>740480</v>
      </c>
      <c r="N31" s="1922">
        <v>664105</v>
      </c>
      <c r="O31" s="1922">
        <v>892647</v>
      </c>
      <c r="P31" s="1922">
        <v>668840</v>
      </c>
      <c r="Q31" s="1922">
        <v>677839</v>
      </c>
      <c r="R31" s="1922">
        <v>703705</v>
      </c>
      <c r="S31" s="1922">
        <v>607206</v>
      </c>
      <c r="T31" s="1922">
        <v>698009</v>
      </c>
      <c r="U31" s="1922">
        <v>675365</v>
      </c>
      <c r="V31" s="1922">
        <v>740401</v>
      </c>
      <c r="W31" s="1922">
        <v>670424</v>
      </c>
      <c r="X31" s="1922">
        <v>713893</v>
      </c>
      <c r="Y31" s="1922">
        <v>794157</v>
      </c>
      <c r="Z31" s="1922">
        <v>697136</v>
      </c>
      <c r="AA31" s="1922">
        <v>703079</v>
      </c>
      <c r="AB31" s="1922">
        <v>690912</v>
      </c>
      <c r="AC31" s="1922">
        <v>291107</v>
      </c>
      <c r="AD31" s="1922">
        <v>892128</v>
      </c>
      <c r="AE31" s="1922">
        <v>743845</v>
      </c>
      <c r="AF31" s="1922">
        <v>698194</v>
      </c>
      <c r="AG31" s="1922">
        <v>729887</v>
      </c>
      <c r="AH31" s="1922">
        <v>1121113</v>
      </c>
      <c r="AI31" s="1922">
        <v>674350</v>
      </c>
      <c r="AJ31" s="1922">
        <v>715232</v>
      </c>
      <c r="AK31" s="1922">
        <v>776797</v>
      </c>
    </row>
    <row r="32" spans="1:37" s="654" customFormat="1" ht="14.1" customHeight="1" x14ac:dyDescent="0.25">
      <c r="A32" s="1913" t="s">
        <v>860</v>
      </c>
      <c r="B32" s="1900" t="s">
        <v>477</v>
      </c>
      <c r="C32" s="1901">
        <f t="shared" si="2"/>
        <v>22728246</v>
      </c>
      <c r="D32" s="774">
        <f t="shared" si="1"/>
        <v>15.175267811520204</v>
      </c>
      <c r="E32" s="3478"/>
      <c r="F32" s="775">
        <v>661929</v>
      </c>
      <c r="G32" s="775">
        <v>631837</v>
      </c>
      <c r="H32" s="775">
        <v>652540</v>
      </c>
      <c r="I32" s="775">
        <v>661935</v>
      </c>
      <c r="J32" s="775">
        <v>711969</v>
      </c>
      <c r="K32" s="775">
        <v>684428</v>
      </c>
      <c r="L32" s="775">
        <v>691664</v>
      </c>
      <c r="M32" s="775">
        <v>772202</v>
      </c>
      <c r="N32" s="775">
        <v>675793</v>
      </c>
      <c r="O32" s="775">
        <v>754945</v>
      </c>
      <c r="P32" s="775">
        <v>692699</v>
      </c>
      <c r="Q32" s="775">
        <v>709101</v>
      </c>
      <c r="R32" s="775">
        <v>731839</v>
      </c>
      <c r="S32" s="775">
        <v>639005</v>
      </c>
      <c r="T32" s="775">
        <v>727738</v>
      </c>
      <c r="U32" s="775">
        <v>694840</v>
      </c>
      <c r="V32" s="775">
        <v>767872</v>
      </c>
      <c r="W32" s="775">
        <v>711590</v>
      </c>
      <c r="X32" s="775">
        <v>744578</v>
      </c>
      <c r="Y32" s="775">
        <v>830103</v>
      </c>
      <c r="Z32" s="775">
        <v>726961</v>
      </c>
      <c r="AA32" s="775">
        <v>736969</v>
      </c>
      <c r="AB32" s="775">
        <v>715881</v>
      </c>
      <c r="AC32" s="775">
        <v>230661</v>
      </c>
      <c r="AD32" s="775">
        <v>932205</v>
      </c>
      <c r="AE32" s="775">
        <v>776793</v>
      </c>
      <c r="AF32" s="775">
        <v>726911</v>
      </c>
      <c r="AG32" s="775">
        <v>722315</v>
      </c>
      <c r="AH32" s="775">
        <v>814739</v>
      </c>
      <c r="AI32" s="775">
        <v>640676</v>
      </c>
      <c r="AJ32" s="775">
        <v>742343</v>
      </c>
      <c r="AK32" s="775">
        <v>813185</v>
      </c>
    </row>
    <row r="33" spans="1:37" s="654" customFormat="1" ht="14.1" customHeight="1" x14ac:dyDescent="0.25">
      <c r="A33" s="1914" t="s">
        <v>2371</v>
      </c>
      <c r="B33" s="1915" t="s">
        <v>858</v>
      </c>
      <c r="C33" s="1916">
        <f t="shared" si="2"/>
        <v>22997638</v>
      </c>
      <c r="D33" s="774">
        <f t="shared" si="1"/>
        <v>15.210076580161616</v>
      </c>
      <c r="E33" s="3477"/>
      <c r="F33" s="775">
        <v>637593</v>
      </c>
      <c r="G33" s="775">
        <v>704954</v>
      </c>
      <c r="H33" s="775">
        <v>781480</v>
      </c>
      <c r="I33" s="775">
        <v>663477</v>
      </c>
      <c r="J33" s="775">
        <v>737709</v>
      </c>
      <c r="K33" s="775">
        <v>664994</v>
      </c>
      <c r="L33" s="775">
        <v>670531</v>
      </c>
      <c r="M33" s="775">
        <v>747782</v>
      </c>
      <c r="N33" s="775">
        <v>669739</v>
      </c>
      <c r="O33" s="775">
        <v>905832</v>
      </c>
      <c r="P33" s="775">
        <v>674659</v>
      </c>
      <c r="Q33" s="775">
        <v>683440</v>
      </c>
      <c r="R33" s="775">
        <v>708652</v>
      </c>
      <c r="S33" s="775">
        <v>610606</v>
      </c>
      <c r="T33" s="775">
        <v>704561</v>
      </c>
      <c r="U33" s="775">
        <v>681405</v>
      </c>
      <c r="V33" s="775">
        <v>746549</v>
      </c>
      <c r="W33" s="775">
        <v>675646</v>
      </c>
      <c r="X33" s="775">
        <v>720084</v>
      </c>
      <c r="Y33" s="775">
        <v>799870</v>
      </c>
      <c r="Z33" s="775">
        <v>702768</v>
      </c>
      <c r="AA33" s="775">
        <v>709635</v>
      </c>
      <c r="AB33" s="775">
        <v>695658</v>
      </c>
      <c r="AC33" s="775">
        <v>293882</v>
      </c>
      <c r="AD33" s="775">
        <v>898766</v>
      </c>
      <c r="AE33" s="775">
        <v>749015</v>
      </c>
      <c r="AF33" s="775">
        <v>703835</v>
      </c>
      <c r="AG33" s="775">
        <v>736198</v>
      </c>
      <c r="AH33" s="775">
        <v>1132721</v>
      </c>
      <c r="AI33" s="775">
        <v>681411</v>
      </c>
      <c r="AJ33" s="775">
        <v>720947</v>
      </c>
      <c r="AK33" s="775">
        <v>783239</v>
      </c>
    </row>
    <row r="34" spans="1:37" s="654" customFormat="1" ht="14.1" customHeight="1" x14ac:dyDescent="0.25">
      <c r="A34" s="1213" t="s">
        <v>2015</v>
      </c>
      <c r="B34" s="1900" t="s">
        <v>861</v>
      </c>
      <c r="C34" s="1901">
        <f t="shared" si="2"/>
        <v>22811359</v>
      </c>
      <c r="D34" s="774">
        <f t="shared" si="1"/>
        <v>15.217024150853465</v>
      </c>
      <c r="E34" s="3146"/>
      <c r="F34" s="1921">
        <v>657017</v>
      </c>
      <c r="G34" s="1921">
        <v>646283</v>
      </c>
      <c r="H34" s="1921">
        <v>674984</v>
      </c>
      <c r="I34" s="1921">
        <v>669863</v>
      </c>
      <c r="J34" s="1921">
        <v>730485</v>
      </c>
      <c r="K34" s="1921">
        <v>688533</v>
      </c>
      <c r="L34" s="1921">
        <v>695435</v>
      </c>
      <c r="M34" s="1921">
        <v>759639</v>
      </c>
      <c r="N34" s="1921">
        <v>681230</v>
      </c>
      <c r="O34" s="1921">
        <v>787065</v>
      </c>
      <c r="P34" s="1921">
        <v>700018</v>
      </c>
      <c r="Q34" s="1921">
        <v>701763</v>
      </c>
      <c r="R34" s="1921">
        <v>732658</v>
      </c>
      <c r="S34" s="1921">
        <v>665442</v>
      </c>
      <c r="T34" s="1921">
        <v>724894</v>
      </c>
      <c r="U34" s="1921">
        <v>702057</v>
      </c>
      <c r="V34" s="1921">
        <v>767182</v>
      </c>
      <c r="W34" s="1921">
        <v>701361</v>
      </c>
      <c r="X34" s="1921">
        <v>735286</v>
      </c>
      <c r="Y34" s="1921">
        <v>821510</v>
      </c>
      <c r="Z34" s="1921">
        <v>721875</v>
      </c>
      <c r="AA34" s="1921">
        <v>723177</v>
      </c>
      <c r="AB34" s="1921">
        <v>717330</v>
      </c>
      <c r="AC34" s="1921">
        <v>249960</v>
      </c>
      <c r="AD34" s="1921">
        <v>922033</v>
      </c>
      <c r="AE34" s="1921">
        <v>758340</v>
      </c>
      <c r="AF34" s="1921">
        <v>719777</v>
      </c>
      <c r="AG34" s="1921">
        <v>719934</v>
      </c>
      <c r="AH34" s="1921">
        <v>857205</v>
      </c>
      <c r="AI34" s="1921">
        <v>653793</v>
      </c>
      <c r="AJ34" s="1921">
        <v>731807</v>
      </c>
      <c r="AK34" s="1921">
        <v>793423</v>
      </c>
    </row>
    <row r="35" spans="1:37" s="654" customFormat="1" ht="14.1" customHeight="1" x14ac:dyDescent="0.25">
      <c r="A35" s="3490" t="s">
        <v>2683</v>
      </c>
      <c r="B35" s="2922" t="s">
        <v>858</v>
      </c>
      <c r="C35" s="1916">
        <f t="shared" si="2"/>
        <v>22890932</v>
      </c>
      <c r="D35" s="774">
        <f t="shared" si="1"/>
        <v>15.30306120604647</v>
      </c>
      <c r="E35" s="3477"/>
      <c r="F35" s="1922">
        <v>666617</v>
      </c>
      <c r="G35" s="1922">
        <v>635538</v>
      </c>
      <c r="H35" s="1922">
        <v>656815</v>
      </c>
      <c r="I35" s="1922">
        <v>672123</v>
      </c>
      <c r="J35" s="1922">
        <v>721795</v>
      </c>
      <c r="K35" s="1922">
        <v>698727</v>
      </c>
      <c r="L35" s="1922">
        <v>714658</v>
      </c>
      <c r="M35" s="1922">
        <v>762812</v>
      </c>
      <c r="N35" s="1922">
        <v>695743</v>
      </c>
      <c r="O35" s="1922">
        <v>754366</v>
      </c>
      <c r="P35" s="1922">
        <v>710737</v>
      </c>
      <c r="Q35" s="1922">
        <v>710989</v>
      </c>
      <c r="R35" s="1922">
        <v>745117</v>
      </c>
      <c r="S35" s="1922">
        <v>675929</v>
      </c>
      <c r="T35" s="1922">
        <v>734132</v>
      </c>
      <c r="U35" s="1922">
        <v>711401</v>
      </c>
      <c r="V35" s="1922">
        <v>784128</v>
      </c>
      <c r="W35" s="1922">
        <v>708919</v>
      </c>
      <c r="X35" s="1922">
        <v>745887</v>
      </c>
      <c r="Y35" s="1922">
        <v>842490</v>
      </c>
      <c r="Z35" s="1922">
        <v>728937</v>
      </c>
      <c r="AA35" s="1922">
        <v>725673</v>
      </c>
      <c r="AB35" s="1922">
        <v>724452</v>
      </c>
      <c r="AC35" s="1922">
        <v>245317</v>
      </c>
      <c r="AD35" s="1922">
        <v>943814</v>
      </c>
      <c r="AE35" s="1922">
        <v>758979</v>
      </c>
      <c r="AF35" s="1922">
        <v>729982</v>
      </c>
      <c r="AG35" s="1922">
        <v>720075</v>
      </c>
      <c r="AH35" s="1922">
        <v>792457</v>
      </c>
      <c r="AI35" s="1922">
        <v>646157</v>
      </c>
      <c r="AJ35" s="1922">
        <v>735009</v>
      </c>
      <c r="AK35" s="1922">
        <v>791157</v>
      </c>
    </row>
    <row r="36" spans="1:37" s="654" customFormat="1" ht="14.1" customHeight="1" x14ac:dyDescent="0.25">
      <c r="A36" s="3491" t="s">
        <v>2684</v>
      </c>
      <c r="B36" s="1900" t="s">
        <v>862</v>
      </c>
      <c r="C36" s="1901">
        <f t="shared" si="2"/>
        <v>23228699</v>
      </c>
      <c r="D36" s="774">
        <f t="shared" si="1"/>
        <v>15.32637560987985</v>
      </c>
      <c r="E36" s="3146"/>
      <c r="F36" s="775">
        <v>645723</v>
      </c>
      <c r="G36" s="775">
        <v>655714</v>
      </c>
      <c r="H36" s="775">
        <v>667377</v>
      </c>
      <c r="I36" s="775">
        <v>683020</v>
      </c>
      <c r="J36" s="775">
        <v>728343</v>
      </c>
      <c r="K36" s="775">
        <v>697164</v>
      </c>
      <c r="L36" s="775">
        <v>718716</v>
      </c>
      <c r="M36" s="775">
        <v>753817</v>
      </c>
      <c r="N36" s="775">
        <v>723561</v>
      </c>
      <c r="O36" s="775">
        <v>774824</v>
      </c>
      <c r="P36" s="775">
        <v>692573</v>
      </c>
      <c r="Q36" s="775">
        <v>708573</v>
      </c>
      <c r="R36" s="775">
        <v>728651</v>
      </c>
      <c r="S36" s="775">
        <v>647761</v>
      </c>
      <c r="T36" s="775">
        <v>725948</v>
      </c>
      <c r="U36" s="775">
        <v>699018</v>
      </c>
      <c r="V36" s="775">
        <v>780783</v>
      </c>
      <c r="W36" s="775">
        <v>692495</v>
      </c>
      <c r="X36" s="775">
        <v>732642</v>
      </c>
      <c r="Y36" s="775">
        <v>842413</v>
      </c>
      <c r="Z36" s="775">
        <v>714956</v>
      </c>
      <c r="AA36" s="775">
        <v>728133</v>
      </c>
      <c r="AB36" s="775">
        <v>711767</v>
      </c>
      <c r="AC36" s="775">
        <v>249105</v>
      </c>
      <c r="AD36" s="775">
        <v>950165</v>
      </c>
      <c r="AE36" s="775">
        <v>780521</v>
      </c>
      <c r="AF36" s="775">
        <v>769037</v>
      </c>
      <c r="AG36" s="775">
        <v>717162</v>
      </c>
      <c r="AH36" s="775">
        <v>768418</v>
      </c>
      <c r="AI36" s="775">
        <v>964033</v>
      </c>
      <c r="AJ36" s="775">
        <v>740457</v>
      </c>
      <c r="AK36" s="775">
        <v>835829</v>
      </c>
    </row>
    <row r="37" spans="1:37" s="654" customFormat="1" ht="14.1" customHeight="1" x14ac:dyDescent="0.25">
      <c r="A37" s="2784" t="s">
        <v>2357</v>
      </c>
      <c r="B37" s="4666" t="s">
        <v>2356</v>
      </c>
      <c r="C37" s="1920"/>
      <c r="D37" s="774">
        <f t="shared" si="1"/>
        <v>15.427414484451024</v>
      </c>
      <c r="E37" s="2788">
        <f>533.97+488.83+522.54+417.03+484.97+430.27+488.89+444.2+391.97+625.34+481.57+388.99+465.65+467.77+545.96+422.65+458.25+478.97+422.31+490.84+425.7+465.79+470.9+358.01+486.71+420.59+393.24+405.18+960.12+504.09+499.43+498.54</f>
        <v>15339.270000000002</v>
      </c>
      <c r="F37" s="775">
        <v>668054</v>
      </c>
      <c r="G37" s="775">
        <v>652396</v>
      </c>
      <c r="H37" s="775">
        <v>675750</v>
      </c>
      <c r="I37" s="775">
        <v>674130</v>
      </c>
      <c r="J37" s="775">
        <v>735208</v>
      </c>
      <c r="K37" s="775">
        <v>705948</v>
      </c>
      <c r="L37" s="775">
        <v>720688</v>
      </c>
      <c r="M37" s="775">
        <v>770370</v>
      </c>
      <c r="N37" s="775">
        <v>690445</v>
      </c>
      <c r="O37" s="775">
        <v>796110</v>
      </c>
      <c r="P37" s="775">
        <v>711855</v>
      </c>
      <c r="Q37" s="775">
        <v>709961</v>
      </c>
      <c r="R37" s="775">
        <v>750873</v>
      </c>
      <c r="S37" s="775">
        <v>679478</v>
      </c>
      <c r="T37" s="775">
        <v>737177</v>
      </c>
      <c r="U37" s="775">
        <v>711875</v>
      </c>
      <c r="V37" s="775">
        <v>782717</v>
      </c>
      <c r="W37" s="775">
        <v>712600</v>
      </c>
      <c r="X37" s="775">
        <v>749619</v>
      </c>
      <c r="Y37" s="775">
        <v>836398</v>
      </c>
      <c r="Z37" s="775">
        <v>730692</v>
      </c>
      <c r="AA37" s="775">
        <v>725059</v>
      </c>
      <c r="AB37" s="775">
        <v>726635</v>
      </c>
      <c r="AC37" s="775">
        <v>243174</v>
      </c>
      <c r="AD37" s="775">
        <v>941330</v>
      </c>
      <c r="AE37" s="775">
        <v>758176</v>
      </c>
      <c r="AF37" s="775">
        <v>734585</v>
      </c>
      <c r="AG37" s="775">
        <v>715389</v>
      </c>
      <c r="AH37" s="775">
        <v>904308</v>
      </c>
      <c r="AI37" s="775">
        <v>654944</v>
      </c>
      <c r="AJ37" s="775">
        <v>742349</v>
      </c>
      <c r="AK37" s="775">
        <v>790498</v>
      </c>
    </row>
    <row r="38" spans="1:37" s="654" customFormat="1" ht="14.1" customHeight="1" x14ac:dyDescent="0.25">
      <c r="A38" s="1913" t="s">
        <v>2372</v>
      </c>
      <c r="B38" s="1900" t="s">
        <v>858</v>
      </c>
      <c r="C38" s="1901">
        <f t="shared" ref="C38:C42" si="3">SUM(F38:AM38)</f>
        <v>23398381</v>
      </c>
      <c r="D38" s="774">
        <f t="shared" si="1"/>
        <v>15.608861998741608</v>
      </c>
      <c r="E38" s="3146"/>
      <c r="F38" s="1921">
        <v>679000</v>
      </c>
      <c r="G38" s="1921">
        <v>649324</v>
      </c>
      <c r="H38" s="1921">
        <v>684609</v>
      </c>
      <c r="I38" s="1921">
        <v>695103</v>
      </c>
      <c r="J38" s="1921">
        <v>736896</v>
      </c>
      <c r="K38" s="1921">
        <v>704006</v>
      </c>
      <c r="L38" s="1921">
        <v>734826</v>
      </c>
      <c r="M38" s="1921">
        <v>770788</v>
      </c>
      <c r="N38" s="1921">
        <v>716643</v>
      </c>
      <c r="O38" s="1921">
        <v>775143</v>
      </c>
      <c r="P38" s="1921">
        <v>717802</v>
      </c>
      <c r="Q38" s="1921">
        <v>716315</v>
      </c>
      <c r="R38" s="1921">
        <v>750052</v>
      </c>
      <c r="S38" s="1921">
        <v>685109</v>
      </c>
      <c r="T38" s="1921">
        <v>738888</v>
      </c>
      <c r="U38" s="1921">
        <v>717303</v>
      </c>
      <c r="V38" s="1921">
        <v>803966</v>
      </c>
      <c r="W38" s="1921">
        <v>717054</v>
      </c>
      <c r="X38" s="1921">
        <v>754044</v>
      </c>
      <c r="Y38" s="1921">
        <v>864719</v>
      </c>
      <c r="Z38" s="1921">
        <v>736808</v>
      </c>
      <c r="AA38" s="1921">
        <v>737001</v>
      </c>
      <c r="AB38" s="1921">
        <v>733660</v>
      </c>
      <c r="AC38" s="1921">
        <v>250087</v>
      </c>
      <c r="AD38" s="1921">
        <v>965761</v>
      </c>
      <c r="AE38" s="1921">
        <v>772110</v>
      </c>
      <c r="AF38" s="1921">
        <v>745076</v>
      </c>
      <c r="AG38" s="1921">
        <v>743338</v>
      </c>
      <c r="AH38" s="1921">
        <v>893055</v>
      </c>
      <c r="AI38" s="1921">
        <v>660307</v>
      </c>
      <c r="AJ38" s="1921">
        <v>744937</v>
      </c>
      <c r="AK38" s="1921">
        <v>804651</v>
      </c>
    </row>
    <row r="39" spans="1:37" s="654" customFormat="1" ht="14.1" customHeight="1" x14ac:dyDescent="0.25">
      <c r="A39" s="2784" t="s">
        <v>2373</v>
      </c>
      <c r="B39" s="2786" t="s">
        <v>1821</v>
      </c>
      <c r="C39" s="1916">
        <f t="shared" si="3"/>
        <v>23806375</v>
      </c>
      <c r="D39" s="774">
        <f t="shared" si="1"/>
        <v>15.860108515476126</v>
      </c>
      <c r="E39" s="2788">
        <f>3.9+4.3+5.6+4.3+3.9+3.8+4.4+4+4.1+4.6+3.7+3.7+4.1+3.6+3.9+3.6+4.3+3.9+4+4.6+3.7+3.9+3.9+3+4.7+3.9+3.9+4.8+9.2+4.1+3.9+4.4</f>
        <v>135.70000000000002</v>
      </c>
      <c r="F39" s="1922">
        <v>695450</v>
      </c>
      <c r="G39" s="1922">
        <v>657703</v>
      </c>
      <c r="H39" s="1922">
        <v>694682</v>
      </c>
      <c r="I39" s="1922">
        <v>725691</v>
      </c>
      <c r="J39" s="1922">
        <v>731291</v>
      </c>
      <c r="K39" s="1922">
        <v>701315</v>
      </c>
      <c r="L39" s="1922">
        <v>746036</v>
      </c>
      <c r="M39" s="1922">
        <v>781507</v>
      </c>
      <c r="N39" s="1922">
        <v>744836</v>
      </c>
      <c r="O39" s="1922">
        <v>777641</v>
      </c>
      <c r="P39" s="1922">
        <v>719293</v>
      </c>
      <c r="Q39" s="1922">
        <v>728902</v>
      </c>
      <c r="R39" s="1922">
        <v>757515</v>
      </c>
      <c r="S39" s="1922">
        <v>685538</v>
      </c>
      <c r="T39" s="1922">
        <v>750407</v>
      </c>
      <c r="U39" s="1922">
        <v>725639</v>
      </c>
      <c r="V39" s="1922">
        <v>819349</v>
      </c>
      <c r="W39" s="1922">
        <v>724340</v>
      </c>
      <c r="X39" s="1922">
        <v>768463</v>
      </c>
      <c r="Y39" s="1922">
        <v>891563</v>
      </c>
      <c r="Z39" s="1922">
        <v>744958</v>
      </c>
      <c r="AA39" s="1922">
        <v>744197</v>
      </c>
      <c r="AB39" s="1922">
        <v>741027</v>
      </c>
      <c r="AC39" s="1922">
        <v>257443</v>
      </c>
      <c r="AD39" s="1922">
        <v>993714</v>
      </c>
      <c r="AE39" s="1922">
        <v>786220</v>
      </c>
      <c r="AF39" s="1922">
        <v>766467</v>
      </c>
      <c r="AG39" s="1922">
        <v>755939</v>
      </c>
      <c r="AH39" s="1922">
        <v>920825</v>
      </c>
      <c r="AI39" s="1922">
        <v>690114</v>
      </c>
      <c r="AJ39" s="1922">
        <v>757752</v>
      </c>
      <c r="AK39" s="1922">
        <v>820558</v>
      </c>
    </row>
    <row r="40" spans="1:37" s="654" customFormat="1" ht="14.1" customHeight="1" x14ac:dyDescent="0.25">
      <c r="A40" s="1212" t="s">
        <v>2688</v>
      </c>
      <c r="B40" s="1900" t="s">
        <v>2732</v>
      </c>
      <c r="C40" s="1901">
        <f t="shared" si="3"/>
        <v>23813357</v>
      </c>
      <c r="D40" s="774">
        <f t="shared" si="1"/>
        <v>15.908082213379918</v>
      </c>
      <c r="E40" s="3146"/>
      <c r="F40" s="775">
        <v>690192</v>
      </c>
      <c r="G40" s="775">
        <v>676859</v>
      </c>
      <c r="H40" s="775">
        <v>704746</v>
      </c>
      <c r="I40" s="775">
        <v>700505</v>
      </c>
      <c r="J40" s="775">
        <v>755085</v>
      </c>
      <c r="K40" s="775">
        <v>722106</v>
      </c>
      <c r="L40" s="775">
        <v>739780</v>
      </c>
      <c r="M40" s="775">
        <v>788733</v>
      </c>
      <c r="N40" s="775">
        <v>730560</v>
      </c>
      <c r="O40" s="775">
        <v>810249</v>
      </c>
      <c r="P40" s="775">
        <v>731309</v>
      </c>
      <c r="Q40" s="775">
        <v>731342</v>
      </c>
      <c r="R40" s="775">
        <v>768172</v>
      </c>
      <c r="S40" s="775">
        <v>699374</v>
      </c>
      <c r="T40" s="775">
        <v>754649</v>
      </c>
      <c r="U40" s="775">
        <v>731268</v>
      </c>
      <c r="V40" s="775">
        <v>810821</v>
      </c>
      <c r="W40" s="775">
        <v>732155</v>
      </c>
      <c r="X40" s="775">
        <v>770036</v>
      </c>
      <c r="Y40" s="775">
        <v>873997</v>
      </c>
      <c r="Z40" s="775">
        <v>751894</v>
      </c>
      <c r="AA40" s="775">
        <v>750726</v>
      </c>
      <c r="AB40" s="775">
        <v>749516</v>
      </c>
      <c r="AC40" s="775">
        <v>277647</v>
      </c>
      <c r="AD40" s="775">
        <v>978347</v>
      </c>
      <c r="AE40" s="775">
        <v>782617</v>
      </c>
      <c r="AF40" s="775">
        <v>754424</v>
      </c>
      <c r="AG40" s="775">
        <v>742810</v>
      </c>
      <c r="AH40" s="775">
        <v>853998</v>
      </c>
      <c r="AI40" s="775">
        <v>675772</v>
      </c>
      <c r="AJ40" s="775">
        <v>759095</v>
      </c>
      <c r="AK40" s="775">
        <v>814573</v>
      </c>
    </row>
    <row r="41" spans="1:37" s="654" customFormat="1" ht="14.1" customHeight="1" x14ac:dyDescent="0.25">
      <c r="A41" s="1914" t="s">
        <v>2374</v>
      </c>
      <c r="B41" s="1915" t="s">
        <v>863</v>
      </c>
      <c r="C41" s="1916">
        <f t="shared" si="3"/>
        <v>23821378</v>
      </c>
      <c r="D41" s="774">
        <f t="shared" si="1"/>
        <v>15.913394883029996</v>
      </c>
      <c r="E41" s="3477"/>
      <c r="F41" s="775">
        <v>690102</v>
      </c>
      <c r="G41" s="775">
        <v>677078</v>
      </c>
      <c r="H41" s="775">
        <v>705217</v>
      </c>
      <c r="I41" s="775">
        <v>700996</v>
      </c>
      <c r="J41" s="775">
        <v>755483</v>
      </c>
      <c r="K41" s="775">
        <v>722965</v>
      </c>
      <c r="L41" s="775">
        <v>740190</v>
      </c>
      <c r="M41" s="775">
        <v>788801</v>
      </c>
      <c r="N41" s="775">
        <v>730941</v>
      </c>
      <c r="O41" s="775">
        <v>810844</v>
      </c>
      <c r="P41" s="775">
        <v>732259</v>
      </c>
      <c r="Q41" s="775">
        <v>731795</v>
      </c>
      <c r="R41" s="775">
        <v>768349</v>
      </c>
      <c r="S41" s="775">
        <v>699849</v>
      </c>
      <c r="T41" s="775">
        <v>755537</v>
      </c>
      <c r="U41" s="775">
        <v>732434</v>
      </c>
      <c r="V41" s="775">
        <v>811142</v>
      </c>
      <c r="W41" s="775">
        <v>732588</v>
      </c>
      <c r="X41" s="775">
        <v>769759</v>
      </c>
      <c r="Y41" s="775">
        <v>874247</v>
      </c>
      <c r="Z41" s="775">
        <v>751723</v>
      </c>
      <c r="AA41" s="775">
        <v>751395</v>
      </c>
      <c r="AB41" s="775">
        <v>748435</v>
      </c>
      <c r="AC41" s="775">
        <v>277912</v>
      </c>
      <c r="AD41" s="775">
        <v>978688</v>
      </c>
      <c r="AE41" s="775">
        <v>782010</v>
      </c>
      <c r="AF41" s="775">
        <v>754587</v>
      </c>
      <c r="AG41" s="775">
        <v>743099</v>
      </c>
      <c r="AH41" s="775">
        <v>854403</v>
      </c>
      <c r="AI41" s="775">
        <v>676043</v>
      </c>
      <c r="AJ41" s="775">
        <v>758646</v>
      </c>
      <c r="AK41" s="775">
        <v>813861</v>
      </c>
    </row>
    <row r="42" spans="1:37" s="654" customFormat="1" ht="14.1" customHeight="1" x14ac:dyDescent="0.25">
      <c r="A42" s="1913" t="s">
        <v>2375</v>
      </c>
      <c r="B42" s="1900" t="s">
        <v>864</v>
      </c>
      <c r="C42" s="1901">
        <f t="shared" si="3"/>
        <v>23943723</v>
      </c>
      <c r="D42" s="774">
        <f t="shared" si="1"/>
        <v>15.971791280127352</v>
      </c>
      <c r="E42" s="3146"/>
      <c r="F42" s="1921">
        <v>690726</v>
      </c>
      <c r="G42" s="1921">
        <v>667266</v>
      </c>
      <c r="H42" s="1921">
        <v>710793</v>
      </c>
      <c r="I42" s="1921">
        <v>705115</v>
      </c>
      <c r="J42" s="1921">
        <v>758905</v>
      </c>
      <c r="K42" s="1921">
        <v>723107</v>
      </c>
      <c r="L42" s="1921">
        <v>754020</v>
      </c>
      <c r="M42" s="1921">
        <v>791972</v>
      </c>
      <c r="N42" s="1921">
        <v>730950</v>
      </c>
      <c r="O42" s="1921">
        <v>803610</v>
      </c>
      <c r="P42" s="1921">
        <v>732485</v>
      </c>
      <c r="Q42" s="1921">
        <v>731486</v>
      </c>
      <c r="R42" s="1921">
        <v>770155</v>
      </c>
      <c r="S42" s="1921">
        <v>701679</v>
      </c>
      <c r="T42" s="1921">
        <v>756092</v>
      </c>
      <c r="U42" s="1921">
        <v>732489</v>
      </c>
      <c r="V42" s="1921">
        <v>820263</v>
      </c>
      <c r="W42" s="1921">
        <v>733796</v>
      </c>
      <c r="X42" s="1921">
        <v>772632</v>
      </c>
      <c r="Y42" s="1921">
        <v>882266</v>
      </c>
      <c r="Z42" s="1921">
        <v>750991</v>
      </c>
      <c r="AA42" s="1921">
        <v>752821</v>
      </c>
      <c r="AB42" s="1921">
        <v>749849</v>
      </c>
      <c r="AC42" s="1921">
        <v>264990</v>
      </c>
      <c r="AD42" s="1921">
        <v>987046</v>
      </c>
      <c r="AE42" s="1921">
        <v>784885</v>
      </c>
      <c r="AF42" s="1921">
        <v>759716</v>
      </c>
      <c r="AG42" s="1921">
        <v>744515</v>
      </c>
      <c r="AH42" s="1921">
        <v>928635</v>
      </c>
      <c r="AI42" s="1921">
        <v>670796</v>
      </c>
      <c r="AJ42" s="1921">
        <v>763098</v>
      </c>
      <c r="AK42" s="1921">
        <v>816574</v>
      </c>
    </row>
    <row r="43" spans="1:37" s="654" customFormat="1" ht="14.1" customHeight="1" x14ac:dyDescent="0.25">
      <c r="A43" s="1914" t="s">
        <v>2376</v>
      </c>
      <c r="B43" s="2922" t="s">
        <v>1225</v>
      </c>
      <c r="C43" s="1916">
        <f t="shared" ref="C43:C49" si="4">SUM(F43:AM43)</f>
        <v>24186048</v>
      </c>
      <c r="D43" s="774">
        <f t="shared" ref="D43:D49" si="5">((F43*100/4457012)+(G43*100/4666092)+(H43*100/4564694)+(I43*100/3934071)+(J43*100/4887915)+(K43*100/4213444)+(L43*100/3969347)+(M43*100/4648398)+(N43*100/4423667)+(O43*100/4183633)+(P43*100/4598571)+(Q43*100/4650256)+(R43*100/4428442)+(S43*100/3615242)+(T43*100/5768156)+(U43*100/4495508)+(V43*100/4650166)+(W43*100/4800546)+(X43*100/5054225)+(Y43*100/4265815)+(Z43*100/4769289)+(AA43*100/4139514)+(AB43*100/4248764)+(AC43*100/4567817)+(AD43*100/6356919)+(AE43*100/4414836)+(AF43*100/5105832)+(AG43*100/5712519)+(AH43*100/11302195)+(AJ43*100/5427923)+(AK43*100/4134752))/31</f>
        <v>16.098499254343832</v>
      </c>
      <c r="E43" s="3477"/>
      <c r="F43" s="1922">
        <v>690890</v>
      </c>
      <c r="G43" s="1922">
        <v>684177</v>
      </c>
      <c r="H43" s="1922">
        <v>726750</v>
      </c>
      <c r="I43" s="1922">
        <v>712901</v>
      </c>
      <c r="J43" s="1922">
        <v>759167</v>
      </c>
      <c r="K43" s="1922">
        <v>724674</v>
      </c>
      <c r="L43" s="1922">
        <v>754159</v>
      </c>
      <c r="M43" s="1922">
        <v>795351</v>
      </c>
      <c r="N43" s="1922">
        <v>736938</v>
      </c>
      <c r="O43" s="1922">
        <v>830414</v>
      </c>
      <c r="P43" s="1922">
        <v>735540</v>
      </c>
      <c r="Q43" s="1922">
        <v>734948</v>
      </c>
      <c r="R43" s="1922">
        <v>767485</v>
      </c>
      <c r="S43" s="1922">
        <v>700851</v>
      </c>
      <c r="T43" s="1922">
        <v>757182</v>
      </c>
      <c r="U43" s="1922">
        <v>736155</v>
      </c>
      <c r="V43" s="1922">
        <v>826276</v>
      </c>
      <c r="W43" s="1922">
        <v>736314</v>
      </c>
      <c r="X43" s="1922">
        <v>770228</v>
      </c>
      <c r="Y43" s="1922">
        <v>882707</v>
      </c>
      <c r="Z43" s="1922">
        <v>752397</v>
      </c>
      <c r="AA43" s="1922">
        <v>756747</v>
      </c>
      <c r="AB43" s="1922">
        <v>750020</v>
      </c>
      <c r="AC43" s="1922">
        <v>285814</v>
      </c>
      <c r="AD43" s="1922">
        <v>990614</v>
      </c>
      <c r="AE43" s="1922">
        <v>790624</v>
      </c>
      <c r="AF43" s="1922">
        <v>751767</v>
      </c>
      <c r="AG43" s="1922">
        <v>754158</v>
      </c>
      <c r="AH43" s="1922">
        <v>1020205</v>
      </c>
      <c r="AI43" s="1922">
        <v>681202</v>
      </c>
      <c r="AJ43" s="1922">
        <v>765159</v>
      </c>
      <c r="AK43" s="1922">
        <v>824234</v>
      </c>
    </row>
    <row r="44" spans="1:37" s="654" customFormat="1" ht="14.1" customHeight="1" x14ac:dyDescent="0.25">
      <c r="A44" s="1913" t="s">
        <v>865</v>
      </c>
      <c r="B44" s="1923" t="s">
        <v>866</v>
      </c>
      <c r="C44" s="1901">
        <f t="shared" si="4"/>
        <v>24171369</v>
      </c>
      <c r="D44" s="774">
        <f t="shared" si="5"/>
        <v>16.133838539211347</v>
      </c>
      <c r="E44" s="3146"/>
      <c r="F44" s="1426">
        <v>695053</v>
      </c>
      <c r="G44" s="1426">
        <v>674421</v>
      </c>
      <c r="H44" s="1426">
        <v>713701</v>
      </c>
      <c r="I44" s="1426">
        <v>714416</v>
      </c>
      <c r="J44" s="1426">
        <v>756947</v>
      </c>
      <c r="K44" s="1426">
        <v>723309</v>
      </c>
      <c r="L44" s="1426">
        <v>772122</v>
      </c>
      <c r="M44" s="1426">
        <v>794291</v>
      </c>
      <c r="N44" s="1426">
        <v>751089</v>
      </c>
      <c r="O44" s="1426">
        <v>816721</v>
      </c>
      <c r="P44" s="1426">
        <v>735882</v>
      </c>
      <c r="Q44" s="1426">
        <v>735972</v>
      </c>
      <c r="R44" s="1426">
        <v>771376</v>
      </c>
      <c r="S44" s="1426">
        <v>703979</v>
      </c>
      <c r="T44" s="1426">
        <v>759439</v>
      </c>
      <c r="U44" s="1426">
        <v>736062</v>
      </c>
      <c r="V44" s="1426">
        <v>842643</v>
      </c>
      <c r="W44" s="1426">
        <v>738597</v>
      </c>
      <c r="X44" s="1426">
        <v>774384</v>
      </c>
      <c r="Y44" s="1426">
        <v>905860</v>
      </c>
      <c r="Z44" s="1426">
        <v>755596</v>
      </c>
      <c r="AA44" s="1426">
        <v>759039</v>
      </c>
      <c r="AB44" s="1426">
        <v>754176</v>
      </c>
      <c r="AC44" s="1426">
        <v>288300</v>
      </c>
      <c r="AD44" s="1426">
        <v>1012438</v>
      </c>
      <c r="AE44" s="1426">
        <v>791701</v>
      </c>
      <c r="AF44" s="1426">
        <v>759268</v>
      </c>
      <c r="AG44" s="1426">
        <v>753827</v>
      </c>
      <c r="AH44" s="1426">
        <v>914077</v>
      </c>
      <c r="AI44" s="1426">
        <v>677040</v>
      </c>
      <c r="AJ44" s="1426">
        <v>765493</v>
      </c>
      <c r="AK44" s="1426">
        <v>824150</v>
      </c>
    </row>
    <row r="45" spans="1:37" s="654" customFormat="1" ht="14.1" customHeight="1" x14ac:dyDescent="0.25">
      <c r="A45" s="1914" t="s">
        <v>2377</v>
      </c>
      <c r="B45" s="2922" t="s">
        <v>1817</v>
      </c>
      <c r="C45" s="1916">
        <f t="shared" si="4"/>
        <v>24233003</v>
      </c>
      <c r="D45" s="774">
        <f t="shared" si="5"/>
        <v>16.176734506523761</v>
      </c>
      <c r="E45" s="3477">
        <f>4.6+4+4.7+4.8+5.2+3.9+4.8+5+4.6+5.2+4.3+4.5+4.7+4.5+4.7+4.5+5.3+4.9+4.8+5.6+4.6+5.1+4.9+2.6+5.7+4.9+4.5+4.3+6.9+4.5+4.7+5</f>
        <v>152.30000000000001</v>
      </c>
      <c r="F45" s="775">
        <v>701963</v>
      </c>
      <c r="G45" s="775">
        <v>673113</v>
      </c>
      <c r="H45" s="775">
        <v>702909</v>
      </c>
      <c r="I45" s="775">
        <v>718187</v>
      </c>
      <c r="J45" s="775">
        <v>767269</v>
      </c>
      <c r="K45" s="775">
        <v>739583</v>
      </c>
      <c r="L45" s="775">
        <v>774549</v>
      </c>
      <c r="M45" s="775">
        <v>801985</v>
      </c>
      <c r="N45" s="775">
        <v>745228</v>
      </c>
      <c r="O45" s="775">
        <v>805184</v>
      </c>
      <c r="P45" s="775">
        <v>743650</v>
      </c>
      <c r="Q45" s="775">
        <v>740186</v>
      </c>
      <c r="R45" s="775">
        <v>781494</v>
      </c>
      <c r="S45" s="775">
        <v>708894</v>
      </c>
      <c r="T45" s="775">
        <v>768997</v>
      </c>
      <c r="U45" s="775">
        <v>742216</v>
      </c>
      <c r="V45" s="775">
        <v>837175</v>
      </c>
      <c r="W45" s="775">
        <v>744623</v>
      </c>
      <c r="X45" s="775">
        <v>781467</v>
      </c>
      <c r="Y45" s="775">
        <v>902718</v>
      </c>
      <c r="Z45" s="775">
        <v>759622</v>
      </c>
      <c r="AA45" s="775">
        <v>762416</v>
      </c>
      <c r="AB45" s="775">
        <v>755228</v>
      </c>
      <c r="AC45" s="775">
        <v>263028</v>
      </c>
      <c r="AD45" s="775">
        <v>1002470</v>
      </c>
      <c r="AE45" s="775">
        <v>792556</v>
      </c>
      <c r="AF45" s="775">
        <v>765447</v>
      </c>
      <c r="AG45" s="775">
        <v>763758</v>
      </c>
      <c r="AH45" s="775">
        <v>891680</v>
      </c>
      <c r="AI45" s="775">
        <v>689918</v>
      </c>
      <c r="AJ45" s="775">
        <v>774776</v>
      </c>
      <c r="AK45" s="775">
        <v>830714</v>
      </c>
    </row>
    <row r="46" spans="1:37" s="654" customFormat="1" ht="14.1" customHeight="1" x14ac:dyDescent="0.25">
      <c r="A46" s="1213" t="s">
        <v>2690</v>
      </c>
      <c r="B46" s="1900" t="s">
        <v>867</v>
      </c>
      <c r="C46" s="1901">
        <f t="shared" si="4"/>
        <v>24269071</v>
      </c>
      <c r="D46" s="774">
        <f t="shared" si="5"/>
        <v>16.206084468775419</v>
      </c>
      <c r="E46" s="3146"/>
      <c r="F46" s="1921">
        <v>701844</v>
      </c>
      <c r="G46" s="1921">
        <v>665104</v>
      </c>
      <c r="H46" s="1921">
        <v>688239</v>
      </c>
      <c r="I46" s="1921">
        <v>723714</v>
      </c>
      <c r="J46" s="1921">
        <v>752623</v>
      </c>
      <c r="K46" s="1921">
        <v>721225</v>
      </c>
      <c r="L46" s="1921">
        <v>791854</v>
      </c>
      <c r="M46" s="1921">
        <v>791989</v>
      </c>
      <c r="N46" s="1921">
        <v>776166</v>
      </c>
      <c r="O46" s="1921">
        <v>789040</v>
      </c>
      <c r="P46" s="1921">
        <v>736233</v>
      </c>
      <c r="Q46" s="1921">
        <v>741700</v>
      </c>
      <c r="R46" s="1921">
        <v>774170</v>
      </c>
      <c r="S46" s="1921">
        <v>709615</v>
      </c>
      <c r="T46" s="1921">
        <v>763320</v>
      </c>
      <c r="U46" s="1921">
        <v>739839</v>
      </c>
      <c r="V46" s="1921">
        <v>860252</v>
      </c>
      <c r="W46" s="1921">
        <v>739559</v>
      </c>
      <c r="X46" s="1921">
        <v>778676</v>
      </c>
      <c r="Y46" s="1921">
        <v>938919</v>
      </c>
      <c r="Z46" s="1921">
        <v>758621</v>
      </c>
      <c r="AA46" s="1921">
        <v>757700</v>
      </c>
      <c r="AB46" s="1921">
        <v>758852</v>
      </c>
      <c r="AC46" s="1921">
        <v>276314</v>
      </c>
      <c r="AD46" s="1921">
        <v>1046788</v>
      </c>
      <c r="AE46" s="1921">
        <v>794129</v>
      </c>
      <c r="AF46" s="1921">
        <v>768981</v>
      </c>
      <c r="AG46" s="1921">
        <v>753680</v>
      </c>
      <c r="AH46" s="1921">
        <v>900607</v>
      </c>
      <c r="AI46" s="1921">
        <v>675411</v>
      </c>
      <c r="AJ46" s="1921">
        <v>767559</v>
      </c>
      <c r="AK46" s="1921">
        <v>826348</v>
      </c>
    </row>
    <row r="47" spans="1:37" s="654" customFormat="1" ht="14.1" customHeight="1" x14ac:dyDescent="0.25">
      <c r="A47" s="1914" t="s">
        <v>2378</v>
      </c>
      <c r="B47" s="1915" t="s">
        <v>864</v>
      </c>
      <c r="C47" s="1916">
        <f t="shared" si="4"/>
        <v>24322976</v>
      </c>
      <c r="D47" s="774">
        <f t="shared" si="5"/>
        <v>16.207451940463809</v>
      </c>
      <c r="E47" s="3477"/>
      <c r="F47" s="1922">
        <v>690070</v>
      </c>
      <c r="G47" s="1922">
        <v>688108</v>
      </c>
      <c r="H47" s="1922">
        <v>737244</v>
      </c>
      <c r="I47" s="1922">
        <v>716962</v>
      </c>
      <c r="J47" s="1922">
        <v>772236</v>
      </c>
      <c r="K47" s="1922">
        <v>726401</v>
      </c>
      <c r="L47" s="1922">
        <v>759592</v>
      </c>
      <c r="M47" s="1922">
        <v>805022</v>
      </c>
      <c r="N47" s="1922">
        <v>740776</v>
      </c>
      <c r="O47" s="1922">
        <v>851758</v>
      </c>
      <c r="P47" s="1922">
        <v>740475</v>
      </c>
      <c r="Q47" s="1922">
        <v>739918</v>
      </c>
      <c r="R47" s="1922">
        <v>768931</v>
      </c>
      <c r="S47" s="1922">
        <v>701403</v>
      </c>
      <c r="T47" s="1922">
        <v>764934</v>
      </c>
      <c r="U47" s="1922">
        <v>740871</v>
      </c>
      <c r="V47" s="1922">
        <v>834268</v>
      </c>
      <c r="W47" s="1922">
        <v>742392</v>
      </c>
      <c r="X47" s="1922">
        <v>778627</v>
      </c>
      <c r="Y47" s="1922">
        <v>892018</v>
      </c>
      <c r="Z47" s="1922">
        <v>759089</v>
      </c>
      <c r="AA47" s="1922">
        <v>764171</v>
      </c>
      <c r="AB47" s="1922">
        <v>756468</v>
      </c>
      <c r="AC47" s="1922">
        <v>278200</v>
      </c>
      <c r="AD47" s="1922">
        <v>999087</v>
      </c>
      <c r="AE47" s="1922">
        <v>794680</v>
      </c>
      <c r="AF47" s="1922">
        <v>761367</v>
      </c>
      <c r="AG47" s="1922">
        <v>750639</v>
      </c>
      <c r="AH47" s="1922">
        <v>980561</v>
      </c>
      <c r="AI47" s="1922">
        <v>686136</v>
      </c>
      <c r="AJ47" s="1922">
        <v>770697</v>
      </c>
      <c r="AK47" s="1922">
        <v>829875</v>
      </c>
    </row>
    <row r="48" spans="1:37" s="654" customFormat="1" ht="14.1" customHeight="1" x14ac:dyDescent="0.25">
      <c r="A48" s="3489" t="s">
        <v>2014</v>
      </c>
      <c r="B48" s="1900"/>
      <c r="C48" s="1901">
        <f t="shared" si="4"/>
        <v>24779487</v>
      </c>
      <c r="D48" s="774">
        <f t="shared" si="5"/>
        <v>16.563917714161715</v>
      </c>
      <c r="E48" s="3146"/>
      <c r="F48" s="775">
        <v>714617</v>
      </c>
      <c r="G48" s="775">
        <v>692598</v>
      </c>
      <c r="H48" s="775">
        <v>732837</v>
      </c>
      <c r="I48" s="775">
        <v>735941</v>
      </c>
      <c r="J48" s="775">
        <v>779769</v>
      </c>
      <c r="K48" s="775">
        <v>752109</v>
      </c>
      <c r="L48" s="775">
        <v>810410</v>
      </c>
      <c r="M48" s="775">
        <v>815548</v>
      </c>
      <c r="N48" s="775">
        <v>773791</v>
      </c>
      <c r="O48" s="775">
        <v>844333</v>
      </c>
      <c r="P48" s="775">
        <v>755251</v>
      </c>
      <c r="Q48" s="775">
        <v>750038</v>
      </c>
      <c r="R48" s="775">
        <v>791483</v>
      </c>
      <c r="S48" s="775">
        <v>724398</v>
      </c>
      <c r="T48" s="775">
        <v>777434</v>
      </c>
      <c r="U48" s="775">
        <v>752678</v>
      </c>
      <c r="V48" s="775">
        <v>871118</v>
      </c>
      <c r="W48" s="775">
        <v>759013</v>
      </c>
      <c r="X48" s="775">
        <v>793543</v>
      </c>
      <c r="Y48" s="775">
        <v>931902</v>
      </c>
      <c r="Z48" s="775">
        <v>770990</v>
      </c>
      <c r="AA48" s="775">
        <v>777202</v>
      </c>
      <c r="AB48" s="775">
        <v>770695</v>
      </c>
      <c r="AC48" s="775">
        <v>312028</v>
      </c>
      <c r="AD48" s="775">
        <v>1035036</v>
      </c>
      <c r="AE48" s="775">
        <v>803801</v>
      </c>
      <c r="AF48" s="775">
        <v>779037</v>
      </c>
      <c r="AG48" s="775">
        <v>766871</v>
      </c>
      <c r="AH48" s="775">
        <v>891999</v>
      </c>
      <c r="AI48" s="775">
        <v>693626</v>
      </c>
      <c r="AJ48" s="775">
        <v>782539</v>
      </c>
      <c r="AK48" s="775">
        <v>836852</v>
      </c>
    </row>
    <row r="49" spans="1:37" s="654" customFormat="1" ht="14.1" customHeight="1" x14ac:dyDescent="0.25">
      <c r="A49" s="3517" t="s">
        <v>2737</v>
      </c>
      <c r="B49" s="3516" t="s">
        <v>2738</v>
      </c>
      <c r="C49" s="1917">
        <f t="shared" si="4"/>
        <v>24876597</v>
      </c>
      <c r="D49" s="774">
        <f t="shared" si="5"/>
        <v>16.632489416681111</v>
      </c>
      <c r="E49" s="3477">
        <f>13+13.88+15.03+13.81+18.21+13.47+16.47+14.07+13.6+16.76+13.05+12.47+13.77+13.07+13.52+12.62+17.06+14.81+15+17.64+14.55+15.27+14.84+10.71+18.95+14.51+14.09+14.05+29.21+14.83+15.02+15.46</f>
        <v>482.79999999999984</v>
      </c>
      <c r="F49" s="1922">
        <v>720497</v>
      </c>
      <c r="G49" s="1922">
        <v>697582</v>
      </c>
      <c r="H49" s="1922">
        <v>718152</v>
      </c>
      <c r="I49" s="1922">
        <v>751746</v>
      </c>
      <c r="J49" s="1922">
        <v>776912</v>
      </c>
      <c r="K49" s="1922">
        <v>745208</v>
      </c>
      <c r="L49" s="1922">
        <v>816957</v>
      </c>
      <c r="M49" s="1922">
        <v>809282</v>
      </c>
      <c r="N49" s="1922">
        <v>797160</v>
      </c>
      <c r="O49" s="1922">
        <v>825842</v>
      </c>
      <c r="P49" s="1922">
        <v>755772</v>
      </c>
      <c r="Q49" s="1922">
        <v>759688</v>
      </c>
      <c r="R49" s="1922">
        <v>793177</v>
      </c>
      <c r="S49" s="1922">
        <v>726463</v>
      </c>
      <c r="T49" s="1922">
        <v>780360</v>
      </c>
      <c r="U49" s="1922">
        <v>757578</v>
      </c>
      <c r="V49" s="1922">
        <v>886026</v>
      </c>
      <c r="W49" s="1922">
        <v>754367</v>
      </c>
      <c r="X49" s="1922">
        <v>795397</v>
      </c>
      <c r="Y49" s="1922">
        <v>964943</v>
      </c>
      <c r="Z49" s="1922">
        <v>773888</v>
      </c>
      <c r="AA49" s="1922">
        <v>774577</v>
      </c>
      <c r="AB49" s="1922">
        <v>773350</v>
      </c>
      <c r="AC49" s="1922">
        <v>282324</v>
      </c>
      <c r="AD49" s="1922">
        <v>1077690</v>
      </c>
      <c r="AE49" s="1922">
        <v>809953</v>
      </c>
      <c r="AF49" s="1922">
        <v>784345</v>
      </c>
      <c r="AG49" s="1922">
        <v>770944</v>
      </c>
      <c r="AH49" s="1922">
        <v>861286</v>
      </c>
      <c r="AI49" s="1922">
        <v>702690</v>
      </c>
      <c r="AJ49" s="1922">
        <v>788657</v>
      </c>
      <c r="AK49" s="1922">
        <v>843784</v>
      </c>
    </row>
    <row r="50" spans="1:37" s="654" customFormat="1" ht="14.1" customHeight="1" x14ac:dyDescent="0.25">
      <c r="A50" s="1913" t="s">
        <v>2379</v>
      </c>
      <c r="B50" s="1923" t="s">
        <v>869</v>
      </c>
      <c r="C50" s="1937">
        <f>SUM(F50:AM50)</f>
        <v>25278052</v>
      </c>
      <c r="D50" s="774">
        <f t="shared" ref="D50:D86" si="6">((F50*100/4457012)+(G50*100/4666092)+(H50*100/4564694)+(I50*100/3934071)+(J50*100/4887915)+(K50*100/4213444)+(L50*100/3969347)+(M50*100/4648398)+(N50*100/4423667)+(O50*100/4183633)+(P50*100/4598571)+(Q50*100/4650256)+(R50*100/4428442)+(S50*100/3615242)+(T50*100/5768156)+(U50*100/4495508)+(V50*100/4650166)+(W50*100/4800546)+(X50*100/5054225)+(Y50*100/4265815)+(Z50*100/4769289)+(AA50*100/4139514)+(AB50*100/4248764)+(AC50*100/4567817)+(AD50*100/6356919)+(AE50*100/4414836)+(AF50*100/5105832)+(AG50*100/5712519)+(AH50*100/11302195)+(AJ50*100/5427923)+(AK50*100/4134752))/31</f>
        <v>16.685741292653617</v>
      </c>
      <c r="E50" s="3146"/>
      <c r="F50" s="1426">
        <v>694251</v>
      </c>
      <c r="G50" s="1426">
        <v>782507</v>
      </c>
      <c r="H50" s="1426">
        <v>885490</v>
      </c>
      <c r="I50" s="1426">
        <v>727079</v>
      </c>
      <c r="J50" s="1426">
        <v>816338</v>
      </c>
      <c r="K50" s="1426">
        <v>725587</v>
      </c>
      <c r="L50" s="1426">
        <v>753071</v>
      </c>
      <c r="M50" s="1426">
        <v>817017</v>
      </c>
      <c r="N50" s="1426">
        <v>739602</v>
      </c>
      <c r="O50" s="1426">
        <v>1001270</v>
      </c>
      <c r="P50" s="1426">
        <v>731497</v>
      </c>
      <c r="Q50" s="1426">
        <v>742404</v>
      </c>
      <c r="R50" s="1426">
        <v>770721</v>
      </c>
      <c r="S50" s="1426">
        <v>668598</v>
      </c>
      <c r="T50" s="1426">
        <v>763227</v>
      </c>
      <c r="U50" s="1426">
        <v>740377</v>
      </c>
      <c r="V50" s="1426">
        <v>831460</v>
      </c>
      <c r="W50" s="1426">
        <v>740866</v>
      </c>
      <c r="X50" s="1426">
        <v>780290</v>
      </c>
      <c r="Y50" s="1426">
        <v>882944</v>
      </c>
      <c r="Z50" s="1426">
        <v>758920</v>
      </c>
      <c r="AA50" s="1426">
        <v>771193</v>
      </c>
      <c r="AB50" s="1426">
        <v>755720</v>
      </c>
      <c r="AC50" s="1426">
        <v>347874</v>
      </c>
      <c r="AD50" s="1426">
        <v>992009</v>
      </c>
      <c r="AE50" s="1426">
        <v>804922</v>
      </c>
      <c r="AF50" s="1426">
        <v>762003</v>
      </c>
      <c r="AG50" s="1426">
        <v>803454</v>
      </c>
      <c r="AH50" s="1426">
        <v>1316007</v>
      </c>
      <c r="AI50" s="1426">
        <v>756634</v>
      </c>
      <c r="AJ50" s="1426">
        <v>777454</v>
      </c>
      <c r="AK50" s="1426">
        <v>837266</v>
      </c>
    </row>
    <row r="51" spans="1:37" s="654" customFormat="1" ht="14.1" customHeight="1" x14ac:dyDescent="0.25">
      <c r="A51" s="3502" t="s">
        <v>2380</v>
      </c>
      <c r="B51" s="1915" t="s">
        <v>870</v>
      </c>
      <c r="C51" s="1937">
        <f>SUM(F51:AM51)</f>
        <v>25434976</v>
      </c>
      <c r="D51" s="774">
        <f t="shared" si="6"/>
        <v>16.927389547178812</v>
      </c>
      <c r="E51" s="3477"/>
      <c r="F51" s="1426">
        <v>722511</v>
      </c>
      <c r="G51" s="1426">
        <v>717154</v>
      </c>
      <c r="H51" s="1426">
        <v>795281</v>
      </c>
      <c r="I51" s="1426">
        <v>740456</v>
      </c>
      <c r="J51" s="1426">
        <v>795380</v>
      </c>
      <c r="K51" s="1426">
        <v>765244</v>
      </c>
      <c r="L51" s="1426">
        <v>810240</v>
      </c>
      <c r="M51" s="1426">
        <v>833425</v>
      </c>
      <c r="N51" s="1426">
        <v>772499</v>
      </c>
      <c r="O51" s="1426">
        <v>910206</v>
      </c>
      <c r="P51" s="1426">
        <v>765936</v>
      </c>
      <c r="Q51" s="1426">
        <v>760509</v>
      </c>
      <c r="R51" s="1426">
        <v>806630</v>
      </c>
      <c r="S51" s="1426">
        <v>733684</v>
      </c>
      <c r="T51" s="1426">
        <v>791400</v>
      </c>
      <c r="U51" s="1426">
        <v>765077</v>
      </c>
      <c r="V51" s="1426">
        <v>869407</v>
      </c>
      <c r="W51" s="1426">
        <v>771601</v>
      </c>
      <c r="X51" s="1426">
        <v>806154</v>
      </c>
      <c r="Y51" s="1426">
        <v>930891</v>
      </c>
      <c r="Z51" s="1426">
        <v>782981</v>
      </c>
      <c r="AA51" s="1426">
        <v>792012</v>
      </c>
      <c r="AB51" s="1426">
        <v>780706</v>
      </c>
      <c r="AC51" s="1426">
        <v>342100</v>
      </c>
      <c r="AD51" s="1426">
        <v>1036303</v>
      </c>
      <c r="AE51" s="1426">
        <v>814715</v>
      </c>
      <c r="AF51" s="1426">
        <v>791491</v>
      </c>
      <c r="AG51" s="1426">
        <v>760481</v>
      </c>
      <c r="AH51" s="1426">
        <v>1118110</v>
      </c>
      <c r="AI51" s="1426">
        <v>704372</v>
      </c>
      <c r="AJ51" s="1426">
        <v>799234</v>
      </c>
      <c r="AK51" s="1426">
        <v>848786</v>
      </c>
    </row>
    <row r="52" spans="1:37" s="654" customFormat="1" ht="14.1" customHeight="1" x14ac:dyDescent="0.25">
      <c r="A52" s="4664" t="s">
        <v>2733</v>
      </c>
      <c r="B52" s="4675" t="s">
        <v>2761</v>
      </c>
      <c r="C52" s="776">
        <f>SUM(F52:AM52)</f>
        <v>25666010</v>
      </c>
      <c r="D52" s="774">
        <f t="shared" si="6"/>
        <v>17.01002422074599</v>
      </c>
      <c r="E52" s="3579">
        <f>5.94+6.5+8.73+6.51+7.37+7.18+8.56+8.3+11.15+7.66+6.79+7.15+7.77+7.17+6.95+8.8+8.58+8.25+8.71+6.71+8.24+6.88+5.09+7.56+7.14+6.99+5.53+16.44+6.56+6.98+7.63</f>
        <v>239.82000000000002</v>
      </c>
      <c r="F52" s="1921">
        <v>710503</v>
      </c>
      <c r="G52" s="1921">
        <v>687102</v>
      </c>
      <c r="H52" s="1921">
        <v>702129</v>
      </c>
      <c r="I52" s="1921">
        <v>737893</v>
      </c>
      <c r="J52" s="1921">
        <v>768092</v>
      </c>
      <c r="K52" s="1921">
        <v>740756</v>
      </c>
      <c r="L52" s="1921">
        <v>802347</v>
      </c>
      <c r="M52" s="1921">
        <v>801410</v>
      </c>
      <c r="N52" s="1921">
        <v>775202</v>
      </c>
      <c r="O52" s="1921">
        <v>1391041</v>
      </c>
      <c r="P52" s="1921">
        <v>752952</v>
      </c>
      <c r="Q52" s="1921">
        <v>748242</v>
      </c>
      <c r="R52" s="1921">
        <v>792662</v>
      </c>
      <c r="S52" s="1921">
        <v>705009</v>
      </c>
      <c r="T52" s="1921">
        <v>767038</v>
      </c>
      <c r="U52" s="1921">
        <v>744547</v>
      </c>
      <c r="V52" s="1921">
        <v>850644</v>
      </c>
      <c r="W52" s="1921">
        <v>745734</v>
      </c>
      <c r="X52" s="1921">
        <v>788000</v>
      </c>
      <c r="Y52" s="1921">
        <v>941085</v>
      </c>
      <c r="Z52" s="1921">
        <v>774821</v>
      </c>
      <c r="AA52" s="1921">
        <v>769012</v>
      </c>
      <c r="AB52" s="1921">
        <v>774799</v>
      </c>
      <c r="AC52" s="1921">
        <v>276549</v>
      </c>
      <c r="AD52" s="1921">
        <v>1052481</v>
      </c>
      <c r="AE52" s="1921">
        <v>809164</v>
      </c>
      <c r="AF52" s="1921">
        <v>785002</v>
      </c>
      <c r="AG52" s="1921">
        <v>760794</v>
      </c>
      <c r="AH52" s="1921">
        <v>1377479</v>
      </c>
      <c r="AI52" s="1921">
        <v>703479</v>
      </c>
      <c r="AJ52" s="1921">
        <v>784725</v>
      </c>
      <c r="AK52" s="1921">
        <v>845317</v>
      </c>
    </row>
    <row r="53" spans="1:37" s="654" customFormat="1" ht="14.1" customHeight="1" x14ac:dyDescent="0.25">
      <c r="A53" s="3582" t="s">
        <v>2691</v>
      </c>
      <c r="B53" s="1915" t="s">
        <v>2127</v>
      </c>
      <c r="C53" s="1916">
        <f>SUM(F53:AM53)</f>
        <v>25463734</v>
      </c>
      <c r="D53" s="774">
        <f t="shared" si="6"/>
        <v>17.08404419167255</v>
      </c>
      <c r="E53" s="3477"/>
      <c r="F53" s="1922">
        <v>695417</v>
      </c>
      <c r="G53" s="1922">
        <v>769244</v>
      </c>
      <c r="H53" s="1922">
        <v>893595</v>
      </c>
      <c r="I53" s="1922">
        <v>775945</v>
      </c>
      <c r="J53" s="1922">
        <v>788369</v>
      </c>
      <c r="K53" s="1922">
        <v>792767</v>
      </c>
      <c r="L53" s="1922">
        <v>829705</v>
      </c>
      <c r="M53" s="1922">
        <v>722864</v>
      </c>
      <c r="N53" s="1922">
        <v>815331</v>
      </c>
      <c r="O53" s="1922">
        <v>965950</v>
      </c>
      <c r="P53" s="1922">
        <v>798461</v>
      </c>
      <c r="Q53" s="1922">
        <v>716359</v>
      </c>
      <c r="R53" s="1922">
        <v>869346</v>
      </c>
      <c r="S53" s="1922">
        <v>792487</v>
      </c>
      <c r="T53" s="1922">
        <v>736110</v>
      </c>
      <c r="U53" s="1922">
        <v>791191</v>
      </c>
      <c r="V53" s="1922">
        <v>836610</v>
      </c>
      <c r="W53" s="1922">
        <v>720411</v>
      </c>
      <c r="X53" s="1922">
        <v>783642</v>
      </c>
      <c r="Y53" s="1922">
        <v>945244</v>
      </c>
      <c r="Z53" s="1922">
        <v>645610</v>
      </c>
      <c r="AA53" s="1922">
        <v>824366</v>
      </c>
      <c r="AB53" s="1922">
        <v>743989</v>
      </c>
      <c r="AC53" s="1922">
        <v>592371</v>
      </c>
      <c r="AD53" s="1922">
        <v>1009065</v>
      </c>
      <c r="AE53" s="1922">
        <v>690388</v>
      </c>
      <c r="AF53" s="1922">
        <v>853582</v>
      </c>
      <c r="AG53" s="1922">
        <v>704778</v>
      </c>
      <c r="AH53" s="1922">
        <v>873109</v>
      </c>
      <c r="AI53" s="1922">
        <v>729455</v>
      </c>
      <c r="AJ53" s="1922">
        <v>829917</v>
      </c>
      <c r="AK53" s="1922">
        <v>928056</v>
      </c>
    </row>
    <row r="54" spans="1:37" s="654" customFormat="1" ht="14.1" customHeight="1" x14ac:dyDescent="0.25">
      <c r="A54" s="3581" t="s">
        <v>2399</v>
      </c>
      <c r="B54" s="3584"/>
      <c r="C54" s="778"/>
      <c r="D54" s="774">
        <f t="shared" si="6"/>
        <v>17.087901213654607</v>
      </c>
      <c r="E54" s="3579">
        <f>10.75+11.12+13.49+11.97+13.32+11.28+13.37+12.02+11.62+14.76+11.26+10.68+11.75+11.15+11.9+11.08+13.47+11.83+11.99+13.47+11.39+11.89+11.43+8.53+13.56+11.57+10.86+11.07+20.29+12.1+11.76+12.04</f>
        <v>388.7700000000001</v>
      </c>
      <c r="F54" s="1426">
        <v>733772</v>
      </c>
      <c r="G54" s="1426">
        <v>700371</v>
      </c>
      <c r="H54" s="1426">
        <v>747832</v>
      </c>
      <c r="I54" s="1426">
        <v>772826</v>
      </c>
      <c r="J54" s="1426">
        <v>791842</v>
      </c>
      <c r="K54" s="1426">
        <v>753640</v>
      </c>
      <c r="L54" s="1426">
        <v>844649</v>
      </c>
      <c r="M54" s="1426">
        <v>831645</v>
      </c>
      <c r="N54" s="1426">
        <v>829156</v>
      </c>
      <c r="O54" s="1426">
        <v>848096</v>
      </c>
      <c r="P54" s="1426">
        <v>773982</v>
      </c>
      <c r="Q54" s="1426">
        <v>774753</v>
      </c>
      <c r="R54" s="1426">
        <v>807793</v>
      </c>
      <c r="S54" s="1426">
        <v>742884</v>
      </c>
      <c r="T54" s="1426">
        <v>797513</v>
      </c>
      <c r="U54" s="1426">
        <v>775884</v>
      </c>
      <c r="V54" s="1426">
        <v>920215</v>
      </c>
      <c r="W54" s="1426">
        <v>778451</v>
      </c>
      <c r="X54" s="1426">
        <v>813817</v>
      </c>
      <c r="Y54" s="1426">
        <v>996623</v>
      </c>
      <c r="Z54" s="1426">
        <v>792158</v>
      </c>
      <c r="AA54" s="1426">
        <v>797191</v>
      </c>
      <c r="AB54" s="1426">
        <v>792728</v>
      </c>
      <c r="AC54" s="1426">
        <v>314211</v>
      </c>
      <c r="AD54" s="1426">
        <v>1103212</v>
      </c>
      <c r="AE54" s="1426">
        <v>831885</v>
      </c>
      <c r="AF54" s="1426">
        <v>794436</v>
      </c>
      <c r="AG54" s="1426">
        <v>796143</v>
      </c>
      <c r="AH54" s="1426">
        <v>941305</v>
      </c>
      <c r="AI54" s="1426">
        <v>710178</v>
      </c>
      <c r="AJ54" s="1426">
        <v>805472</v>
      </c>
      <c r="AK54" s="1426">
        <v>862119</v>
      </c>
    </row>
    <row r="55" spans="1:37" s="654" customFormat="1" ht="14.1" customHeight="1" x14ac:dyDescent="0.25">
      <c r="A55" s="1914" t="s">
        <v>2381</v>
      </c>
      <c r="B55" s="1915" t="s">
        <v>915</v>
      </c>
      <c r="C55" s="1916">
        <f>SUM(F55:AM55)</f>
        <v>25770550</v>
      </c>
      <c r="D55" s="774">
        <f t="shared" si="6"/>
        <v>17.120520679083</v>
      </c>
      <c r="E55" s="3477"/>
      <c r="F55" s="775">
        <v>719840</v>
      </c>
      <c r="G55" s="775">
        <v>743830</v>
      </c>
      <c r="H55" s="775">
        <v>803198</v>
      </c>
      <c r="I55" s="775">
        <v>774637</v>
      </c>
      <c r="J55" s="775">
        <v>816862</v>
      </c>
      <c r="K55" s="775">
        <v>749680</v>
      </c>
      <c r="L55" s="775">
        <v>795097</v>
      </c>
      <c r="M55" s="775">
        <v>858984</v>
      </c>
      <c r="N55" s="775">
        <v>799165</v>
      </c>
      <c r="O55" s="775">
        <v>931223</v>
      </c>
      <c r="P55" s="775">
        <v>755395</v>
      </c>
      <c r="Q55" s="775">
        <v>772595</v>
      </c>
      <c r="R55" s="775">
        <v>793427</v>
      </c>
      <c r="S55" s="775">
        <v>718965</v>
      </c>
      <c r="T55" s="775">
        <v>790537</v>
      </c>
      <c r="U55" s="775">
        <v>770830</v>
      </c>
      <c r="V55" s="775">
        <v>891849</v>
      </c>
      <c r="W55" s="775">
        <v>766892</v>
      </c>
      <c r="X55" s="775">
        <v>804221</v>
      </c>
      <c r="Y55" s="775">
        <v>934340</v>
      </c>
      <c r="Z55" s="775">
        <v>785174</v>
      </c>
      <c r="AA55" s="775">
        <v>817960</v>
      </c>
      <c r="AB55" s="775">
        <v>781730</v>
      </c>
      <c r="AC55" s="775">
        <v>317657</v>
      </c>
      <c r="AD55" s="775">
        <v>1059285</v>
      </c>
      <c r="AE55" s="775">
        <v>841145</v>
      </c>
      <c r="AF55" s="775">
        <v>799183</v>
      </c>
      <c r="AG55" s="775">
        <v>782607</v>
      </c>
      <c r="AH55" s="775">
        <v>1160511</v>
      </c>
      <c r="AI55" s="775">
        <v>731038</v>
      </c>
      <c r="AJ55" s="775">
        <v>822411</v>
      </c>
      <c r="AK55" s="775">
        <v>880282</v>
      </c>
    </row>
    <row r="56" spans="1:37" s="654" customFormat="1" ht="14.1" customHeight="1" x14ac:dyDescent="0.25">
      <c r="A56" s="2515" t="s">
        <v>2733</v>
      </c>
      <c r="B56" s="3572" t="s">
        <v>2760</v>
      </c>
      <c r="C56" s="776">
        <f>SUM(F56:AM56)</f>
        <v>25816597</v>
      </c>
      <c r="D56" s="774">
        <f t="shared" si="6"/>
        <v>17.128611382506257</v>
      </c>
      <c r="E56" s="3146">
        <f>6.29+5.86+6.37+5.74+6.24+5.93+6.61+6.78+5.73+9.63+5.73+5.89+5.95+6.86+6.11+5.98+7.28+6.18+6.21+7.47+5.6+6.48+6.73+2.67+8.43+7.24+8.84+7.15+11.74+6.22+7.07+7.76</f>
        <v>214.76999999999998</v>
      </c>
      <c r="F56" s="1921">
        <v>715308</v>
      </c>
      <c r="G56" s="1921">
        <v>695623</v>
      </c>
      <c r="H56" s="1921">
        <v>716380</v>
      </c>
      <c r="I56" s="1921">
        <v>741785</v>
      </c>
      <c r="J56" s="1921">
        <v>772576</v>
      </c>
      <c r="K56" s="1921">
        <v>744532</v>
      </c>
      <c r="L56" s="1921">
        <v>807151</v>
      </c>
      <c r="M56" s="1921">
        <v>811665</v>
      </c>
      <c r="N56" s="1921">
        <v>780186</v>
      </c>
      <c r="O56" s="1921">
        <v>1399975</v>
      </c>
      <c r="P56" s="1921">
        <v>760891</v>
      </c>
      <c r="Q56" s="1921">
        <v>752247</v>
      </c>
      <c r="R56" s="1921">
        <v>798941</v>
      </c>
      <c r="S56" s="1921">
        <v>705038</v>
      </c>
      <c r="T56" s="1921">
        <v>770176</v>
      </c>
      <c r="U56" s="1921">
        <v>749261</v>
      </c>
      <c r="V56" s="1921">
        <v>859125</v>
      </c>
      <c r="W56" s="1921">
        <v>752734</v>
      </c>
      <c r="X56" s="1921">
        <v>791877</v>
      </c>
      <c r="Y56" s="1921">
        <v>944669</v>
      </c>
      <c r="Z56" s="1921">
        <v>779141</v>
      </c>
      <c r="AA56" s="1921">
        <v>778432</v>
      </c>
      <c r="AB56" s="1921">
        <v>776802</v>
      </c>
      <c r="AC56" s="1921">
        <v>295343</v>
      </c>
      <c r="AD56" s="1921">
        <v>1057220</v>
      </c>
      <c r="AE56" s="1921">
        <v>816888</v>
      </c>
      <c r="AF56" s="1921">
        <v>787525</v>
      </c>
      <c r="AG56" s="1921">
        <v>761489</v>
      </c>
      <c r="AH56" s="1921">
        <v>1349585</v>
      </c>
      <c r="AI56" s="1921">
        <v>702687</v>
      </c>
      <c r="AJ56" s="1921">
        <v>791403</v>
      </c>
      <c r="AK56" s="1921">
        <v>849942</v>
      </c>
    </row>
    <row r="57" spans="1:37" s="654" customFormat="1" ht="14.1" customHeight="1" x14ac:dyDescent="0.25">
      <c r="A57" s="3488" t="s">
        <v>2692</v>
      </c>
      <c r="B57" s="1915" t="s">
        <v>871</v>
      </c>
      <c r="C57" s="1916">
        <f>SUM(F57:AM57)</f>
        <v>25726550</v>
      </c>
      <c r="D57" s="774">
        <f t="shared" si="6"/>
        <v>17.181602551791606</v>
      </c>
      <c r="E57" s="3477"/>
      <c r="F57" s="1922">
        <v>726381</v>
      </c>
      <c r="G57" s="1922">
        <v>813298</v>
      </c>
      <c r="H57" s="1922">
        <v>899621</v>
      </c>
      <c r="I57" s="1922">
        <v>762468</v>
      </c>
      <c r="J57" s="1922">
        <v>823718</v>
      </c>
      <c r="K57" s="1922">
        <v>746436</v>
      </c>
      <c r="L57" s="1922">
        <v>770453</v>
      </c>
      <c r="M57" s="1922">
        <v>848755</v>
      </c>
      <c r="N57" s="1922">
        <v>785951</v>
      </c>
      <c r="O57" s="1922">
        <v>964317</v>
      </c>
      <c r="P57" s="1922">
        <v>758395</v>
      </c>
      <c r="Q57" s="1922">
        <v>781787</v>
      </c>
      <c r="R57" s="1922">
        <v>793671</v>
      </c>
      <c r="S57" s="1922">
        <v>727401</v>
      </c>
      <c r="T57" s="1922">
        <v>794323</v>
      </c>
      <c r="U57" s="1922">
        <v>766847</v>
      </c>
      <c r="V57" s="1922">
        <v>880861</v>
      </c>
      <c r="W57" s="1922">
        <v>776776</v>
      </c>
      <c r="X57" s="1922">
        <v>808231</v>
      </c>
      <c r="Y57" s="1922">
        <v>928927</v>
      </c>
      <c r="Z57" s="1922">
        <v>784010</v>
      </c>
      <c r="AA57" s="1922">
        <v>819052</v>
      </c>
      <c r="AB57" s="1922">
        <v>779054</v>
      </c>
      <c r="AC57" s="1922">
        <v>430201</v>
      </c>
      <c r="AD57" s="1922">
        <v>1046101</v>
      </c>
      <c r="AE57" s="1922">
        <v>850101</v>
      </c>
      <c r="AF57" s="1922">
        <v>778887</v>
      </c>
      <c r="AG57" s="1922">
        <v>754113</v>
      </c>
      <c r="AH57" s="1922">
        <v>881402</v>
      </c>
      <c r="AI57" s="1922">
        <v>774263</v>
      </c>
      <c r="AJ57" s="1922">
        <v>808611</v>
      </c>
      <c r="AK57" s="1922">
        <v>862138</v>
      </c>
    </row>
    <row r="58" spans="1:37" s="654" customFormat="1" ht="14.1" customHeight="1" x14ac:dyDescent="0.25">
      <c r="A58" s="1913" t="s">
        <v>2382</v>
      </c>
      <c r="B58" s="1900" t="s">
        <v>915</v>
      </c>
      <c r="C58" s="1901">
        <f>SUM(F58:AM58)</f>
        <v>25911912</v>
      </c>
      <c r="D58" s="774">
        <f t="shared" si="6"/>
        <v>17.196275112215076</v>
      </c>
      <c r="E58" s="3146"/>
      <c r="F58" s="775">
        <v>716917</v>
      </c>
      <c r="G58" s="775">
        <v>757357</v>
      </c>
      <c r="H58" s="775">
        <v>812096</v>
      </c>
      <c r="I58" s="775">
        <v>786622</v>
      </c>
      <c r="J58" s="775">
        <v>829892</v>
      </c>
      <c r="K58" s="775">
        <v>749117</v>
      </c>
      <c r="L58" s="775">
        <v>798999</v>
      </c>
      <c r="M58" s="775">
        <v>870189</v>
      </c>
      <c r="N58" s="775">
        <v>804146</v>
      </c>
      <c r="O58" s="775">
        <v>956541</v>
      </c>
      <c r="P58" s="775">
        <v>752284</v>
      </c>
      <c r="Q58" s="775">
        <v>767919</v>
      </c>
      <c r="R58" s="775">
        <v>790451</v>
      </c>
      <c r="S58" s="775">
        <v>715739</v>
      </c>
      <c r="T58" s="775">
        <v>787139</v>
      </c>
      <c r="U58" s="775">
        <v>766785</v>
      </c>
      <c r="V58" s="775">
        <v>890423</v>
      </c>
      <c r="W58" s="775">
        <v>763854</v>
      </c>
      <c r="X58" s="775">
        <v>800687</v>
      </c>
      <c r="Y58" s="775">
        <v>933530</v>
      </c>
      <c r="Z58" s="775">
        <v>781128</v>
      </c>
      <c r="AA58" s="775">
        <v>813784</v>
      </c>
      <c r="AB58" s="775">
        <v>777964</v>
      </c>
      <c r="AC58" s="775">
        <v>330517</v>
      </c>
      <c r="AD58" s="775">
        <v>1058119</v>
      </c>
      <c r="AE58" s="775">
        <v>852402</v>
      </c>
      <c r="AF58" s="775">
        <v>797814</v>
      </c>
      <c r="AG58" s="775">
        <v>787879</v>
      </c>
      <c r="AH58" s="775">
        <v>1210173</v>
      </c>
      <c r="AI58" s="775">
        <v>740529</v>
      </c>
      <c r="AJ58" s="775">
        <v>818424</v>
      </c>
      <c r="AK58" s="775">
        <v>892492</v>
      </c>
    </row>
    <row r="59" spans="1:37" s="654" customFormat="1" ht="14.1" customHeight="1" x14ac:dyDescent="0.25">
      <c r="A59" s="3488" t="s">
        <v>2727</v>
      </c>
      <c r="B59" s="1915" t="s">
        <v>873</v>
      </c>
      <c r="C59" s="1916"/>
      <c r="D59" s="774">
        <f t="shared" si="6"/>
        <v>17.264987118023331</v>
      </c>
      <c r="E59" s="3477">
        <f>55.08+47.18+65.34+60.44+72.49+63.49+94.95+64.57+59.11+77.99+59.5+55.98+62.08+60.21+60.41+58.91+63.68+58.46+59.96+66.95+55.95+58.41+65+41.9+64.57+53.44+55.15+47.72+126.6+55.58+65.47+58.5</f>
        <v>2015.0700000000004</v>
      </c>
      <c r="F59" s="775">
        <v>731173</v>
      </c>
      <c r="G59" s="775">
        <v>745782</v>
      </c>
      <c r="H59" s="775">
        <v>777040</v>
      </c>
      <c r="I59" s="775">
        <v>771674</v>
      </c>
      <c r="J59" s="775">
        <v>812222</v>
      </c>
      <c r="K59" s="775">
        <v>811369</v>
      </c>
      <c r="L59" s="775">
        <v>831760</v>
      </c>
      <c r="M59" s="775">
        <v>844052</v>
      </c>
      <c r="N59" s="775">
        <v>798755</v>
      </c>
      <c r="O59" s="775">
        <v>892592</v>
      </c>
      <c r="P59" s="775">
        <v>775215</v>
      </c>
      <c r="Q59" s="775">
        <v>780355</v>
      </c>
      <c r="R59" s="775">
        <v>813863</v>
      </c>
      <c r="S59" s="775">
        <v>745738</v>
      </c>
      <c r="T59" s="775">
        <v>802627</v>
      </c>
      <c r="U59" s="775">
        <v>782609</v>
      </c>
      <c r="V59" s="775">
        <v>893807</v>
      </c>
      <c r="W59" s="775">
        <v>789420</v>
      </c>
      <c r="X59" s="775">
        <v>823487</v>
      </c>
      <c r="Y59" s="775">
        <v>954751</v>
      </c>
      <c r="Z59" s="775">
        <v>800349</v>
      </c>
      <c r="AA59" s="775">
        <v>815741</v>
      </c>
      <c r="AB59" s="775">
        <v>797375</v>
      </c>
      <c r="AC59" s="775">
        <v>298863</v>
      </c>
      <c r="AD59" s="775">
        <v>1073519</v>
      </c>
      <c r="AE59" s="775">
        <v>846197</v>
      </c>
      <c r="AF59" s="775">
        <v>807387</v>
      </c>
      <c r="AG59" s="775">
        <v>792839</v>
      </c>
      <c r="AH59" s="775">
        <v>1087028</v>
      </c>
      <c r="AI59" s="775">
        <v>732176</v>
      </c>
      <c r="AJ59" s="775">
        <v>811347</v>
      </c>
      <c r="AK59" s="775">
        <v>884570</v>
      </c>
    </row>
    <row r="60" spans="1:37" s="654" customFormat="1" ht="14.1" customHeight="1" x14ac:dyDescent="0.25">
      <c r="A60" s="1913" t="s">
        <v>2383</v>
      </c>
      <c r="B60" s="1900" t="s">
        <v>872</v>
      </c>
      <c r="C60" s="1901">
        <f t="shared" ref="C60:C68" si="7">SUM(F60:AM60)</f>
        <v>25985223</v>
      </c>
      <c r="D60" s="774">
        <f t="shared" si="6"/>
        <v>17.305498893663525</v>
      </c>
      <c r="E60" s="3146"/>
      <c r="F60" s="1921">
        <v>736718</v>
      </c>
      <c r="G60" s="1921">
        <v>723095</v>
      </c>
      <c r="H60" s="1921">
        <v>802552</v>
      </c>
      <c r="I60" s="1921">
        <v>776258</v>
      </c>
      <c r="J60" s="1921">
        <v>810512</v>
      </c>
      <c r="K60" s="1921">
        <v>775403</v>
      </c>
      <c r="L60" s="1921">
        <v>828264</v>
      </c>
      <c r="M60" s="1921">
        <v>849592</v>
      </c>
      <c r="N60" s="1921">
        <v>801520</v>
      </c>
      <c r="O60" s="1921">
        <v>915858</v>
      </c>
      <c r="P60" s="1921">
        <v>779604</v>
      </c>
      <c r="Q60" s="1921">
        <v>781925</v>
      </c>
      <c r="R60" s="1921">
        <v>818944</v>
      </c>
      <c r="S60" s="1921">
        <v>749775</v>
      </c>
      <c r="T60" s="1921">
        <v>808021</v>
      </c>
      <c r="U60" s="1921">
        <v>783133</v>
      </c>
      <c r="V60" s="1921">
        <v>897781</v>
      </c>
      <c r="W60" s="1921">
        <v>789724</v>
      </c>
      <c r="X60" s="1921">
        <v>824841</v>
      </c>
      <c r="Y60" s="1921">
        <v>961965</v>
      </c>
      <c r="Z60" s="1921">
        <v>800967</v>
      </c>
      <c r="AA60" s="1921">
        <v>810048</v>
      </c>
      <c r="AB60" s="1921">
        <v>798130</v>
      </c>
      <c r="AC60" s="1921">
        <v>327831</v>
      </c>
      <c r="AD60" s="1921">
        <v>1072462</v>
      </c>
      <c r="AE60" s="1921">
        <v>840863</v>
      </c>
      <c r="AF60" s="1921">
        <v>809331</v>
      </c>
      <c r="AG60" s="1921">
        <v>794837</v>
      </c>
      <c r="AH60" s="1921">
        <v>1093728</v>
      </c>
      <c r="AI60" s="1921">
        <v>727893</v>
      </c>
      <c r="AJ60" s="1921">
        <v>817378</v>
      </c>
      <c r="AK60" s="1921">
        <v>876270</v>
      </c>
    </row>
    <row r="61" spans="1:37" s="654" customFormat="1" ht="14.1" customHeight="1" x14ac:dyDescent="0.25">
      <c r="A61" s="1914" t="s">
        <v>2384</v>
      </c>
      <c r="B61" s="1915"/>
      <c r="C61" s="1916">
        <f t="shared" si="7"/>
        <v>26047200</v>
      </c>
      <c r="D61" s="774">
        <f t="shared" si="6"/>
        <v>17.346471957596584</v>
      </c>
      <c r="E61" s="3477"/>
      <c r="F61" s="1922">
        <v>738127</v>
      </c>
      <c r="G61" s="1922">
        <v>724111</v>
      </c>
      <c r="H61" s="1922">
        <v>803659</v>
      </c>
      <c r="I61" s="1922">
        <v>778425</v>
      </c>
      <c r="J61" s="1922">
        <v>811056</v>
      </c>
      <c r="K61" s="1922">
        <v>775950</v>
      </c>
      <c r="L61" s="1922">
        <v>829755</v>
      </c>
      <c r="M61" s="1922">
        <v>851605</v>
      </c>
      <c r="N61" s="1922">
        <v>804276</v>
      </c>
      <c r="O61" s="1922">
        <v>918628</v>
      </c>
      <c r="P61" s="1922">
        <v>781010</v>
      </c>
      <c r="Q61" s="1922">
        <v>783580</v>
      </c>
      <c r="R61" s="1922">
        <v>820152</v>
      </c>
      <c r="S61" s="1922">
        <v>751479</v>
      </c>
      <c r="T61" s="1922">
        <v>809841</v>
      </c>
      <c r="U61" s="1922">
        <v>784561</v>
      </c>
      <c r="V61" s="1922">
        <v>900175</v>
      </c>
      <c r="W61" s="1922">
        <v>791791</v>
      </c>
      <c r="X61" s="1922">
        <v>826749</v>
      </c>
      <c r="Y61" s="1922">
        <v>965358</v>
      </c>
      <c r="Z61" s="1922">
        <v>802824</v>
      </c>
      <c r="AA61" s="1922">
        <v>812312</v>
      </c>
      <c r="AB61" s="1922">
        <v>799747</v>
      </c>
      <c r="AC61" s="1922">
        <v>329333</v>
      </c>
      <c r="AD61" s="1922">
        <v>1076326</v>
      </c>
      <c r="AE61" s="1922">
        <v>843515</v>
      </c>
      <c r="AF61" s="1922">
        <v>811223</v>
      </c>
      <c r="AG61" s="1922">
        <v>797111</v>
      </c>
      <c r="AH61" s="1922">
        <v>1097692</v>
      </c>
      <c r="AI61" s="1922">
        <v>729009</v>
      </c>
      <c r="AJ61" s="1922">
        <v>819119</v>
      </c>
      <c r="AK61" s="1922">
        <v>878701</v>
      </c>
    </row>
    <row r="62" spans="1:37" s="654" customFormat="1" ht="14.1" customHeight="1" x14ac:dyDescent="0.25">
      <c r="A62" s="1213" t="s">
        <v>2705</v>
      </c>
      <c r="B62" s="1900" t="s">
        <v>873</v>
      </c>
      <c r="C62" s="1901">
        <f t="shared" si="7"/>
        <v>26036728</v>
      </c>
      <c r="D62" s="774">
        <f t="shared" si="6"/>
        <v>17.359387143405677</v>
      </c>
      <c r="E62" s="3146"/>
      <c r="F62" s="775">
        <v>738593</v>
      </c>
      <c r="G62" s="775">
        <v>754287</v>
      </c>
      <c r="H62" s="775">
        <v>772517</v>
      </c>
      <c r="I62" s="775">
        <v>772503</v>
      </c>
      <c r="J62" s="775">
        <v>815298</v>
      </c>
      <c r="K62" s="775">
        <v>820110</v>
      </c>
      <c r="L62" s="775">
        <v>852502</v>
      </c>
      <c r="M62" s="775">
        <v>846025</v>
      </c>
      <c r="N62" s="775">
        <v>808065</v>
      </c>
      <c r="O62" s="775">
        <v>892291</v>
      </c>
      <c r="P62" s="775">
        <v>782288</v>
      </c>
      <c r="Q62" s="775">
        <v>785048</v>
      </c>
      <c r="R62" s="775">
        <v>823438</v>
      </c>
      <c r="S62" s="775">
        <v>751421</v>
      </c>
      <c r="T62" s="775">
        <v>807016</v>
      </c>
      <c r="U62" s="775">
        <v>786399</v>
      </c>
      <c r="V62" s="775">
        <v>894633</v>
      </c>
      <c r="W62" s="775">
        <v>790294</v>
      </c>
      <c r="X62" s="775">
        <v>829687</v>
      </c>
      <c r="Y62" s="775">
        <v>967708</v>
      </c>
      <c r="Z62" s="775">
        <v>805648</v>
      </c>
      <c r="AA62" s="775">
        <v>814176</v>
      </c>
      <c r="AB62" s="775">
        <v>804254</v>
      </c>
      <c r="AC62" s="775">
        <v>303458</v>
      </c>
      <c r="AD62" s="775">
        <v>1079473</v>
      </c>
      <c r="AE62" s="775">
        <v>847079</v>
      </c>
      <c r="AF62" s="775">
        <v>810923</v>
      </c>
      <c r="AG62" s="775">
        <v>802636</v>
      </c>
      <c r="AH62" s="775">
        <v>1041326</v>
      </c>
      <c r="AI62" s="775">
        <v>736266</v>
      </c>
      <c r="AJ62" s="775">
        <v>820288</v>
      </c>
      <c r="AK62" s="775">
        <v>881078</v>
      </c>
    </row>
    <row r="63" spans="1:37" s="654" customFormat="1" ht="14.1" customHeight="1" x14ac:dyDescent="0.25">
      <c r="A63" s="3580" t="s">
        <v>2385</v>
      </c>
      <c r="B63" s="1915" t="s">
        <v>864</v>
      </c>
      <c r="C63" s="1916">
        <f t="shared" si="7"/>
        <v>26058262</v>
      </c>
      <c r="D63" s="774">
        <f t="shared" si="6"/>
        <v>17.363514953290959</v>
      </c>
      <c r="E63" s="3477"/>
      <c r="F63" s="775">
        <v>739547</v>
      </c>
      <c r="G63" s="775">
        <v>731494</v>
      </c>
      <c r="H63" s="775">
        <v>804494</v>
      </c>
      <c r="I63" s="775">
        <v>777888</v>
      </c>
      <c r="J63" s="775">
        <v>817146</v>
      </c>
      <c r="K63" s="775">
        <v>779506</v>
      </c>
      <c r="L63" s="775">
        <v>834509</v>
      </c>
      <c r="M63" s="775">
        <v>854389</v>
      </c>
      <c r="N63" s="775">
        <v>807275</v>
      </c>
      <c r="O63" s="775">
        <v>926468</v>
      </c>
      <c r="P63" s="775">
        <v>782711</v>
      </c>
      <c r="Q63" s="775">
        <v>784783</v>
      </c>
      <c r="R63" s="775">
        <v>822126</v>
      </c>
      <c r="S63" s="775">
        <v>752694</v>
      </c>
      <c r="T63" s="775">
        <v>812003</v>
      </c>
      <c r="U63" s="775">
        <v>786055</v>
      </c>
      <c r="V63" s="775">
        <v>903232</v>
      </c>
      <c r="W63" s="775">
        <v>792680</v>
      </c>
      <c r="X63" s="775">
        <v>828340</v>
      </c>
      <c r="Y63" s="775">
        <v>968045</v>
      </c>
      <c r="Z63" s="775">
        <v>804488</v>
      </c>
      <c r="AA63" s="775">
        <v>814188</v>
      </c>
      <c r="AB63" s="775">
        <v>801892</v>
      </c>
      <c r="AC63" s="775">
        <v>328638</v>
      </c>
      <c r="AD63" s="775">
        <v>1078971</v>
      </c>
      <c r="AE63" s="775">
        <v>844978</v>
      </c>
      <c r="AF63" s="775">
        <v>812539</v>
      </c>
      <c r="AG63" s="775">
        <v>796681</v>
      </c>
      <c r="AH63" s="775">
        <v>1118110</v>
      </c>
      <c r="AI63" s="775">
        <v>704372</v>
      </c>
      <c r="AJ63" s="775">
        <v>799234</v>
      </c>
      <c r="AK63" s="775">
        <v>848786</v>
      </c>
    </row>
    <row r="64" spans="1:37" s="654" customFormat="1" ht="14.1" customHeight="1" x14ac:dyDescent="0.25">
      <c r="A64" s="2515" t="s">
        <v>680</v>
      </c>
      <c r="B64" s="1900" t="s">
        <v>874</v>
      </c>
      <c r="C64" s="1901">
        <f t="shared" si="7"/>
        <v>26230716</v>
      </c>
      <c r="D64" s="774">
        <f t="shared" si="6"/>
        <v>17.432415786133667</v>
      </c>
      <c r="E64" s="3146"/>
      <c r="F64" s="1921">
        <v>734810</v>
      </c>
      <c r="G64" s="1921">
        <v>741625</v>
      </c>
      <c r="H64" s="1921">
        <v>780091</v>
      </c>
      <c r="I64" s="1921">
        <v>777389</v>
      </c>
      <c r="J64" s="1921">
        <v>818721</v>
      </c>
      <c r="K64" s="1921">
        <v>763632</v>
      </c>
      <c r="L64" s="1921">
        <v>858478</v>
      </c>
      <c r="M64" s="1921">
        <v>841540</v>
      </c>
      <c r="N64" s="1921">
        <v>829138</v>
      </c>
      <c r="O64" s="1921">
        <v>919929</v>
      </c>
      <c r="P64" s="1921">
        <v>779564</v>
      </c>
      <c r="Q64" s="1921">
        <v>779241</v>
      </c>
      <c r="R64" s="1921">
        <v>815665</v>
      </c>
      <c r="S64" s="1921">
        <v>749277</v>
      </c>
      <c r="T64" s="1921">
        <v>803821</v>
      </c>
      <c r="U64" s="1921">
        <v>781108</v>
      </c>
      <c r="V64" s="1921">
        <v>932466</v>
      </c>
      <c r="W64" s="1921">
        <v>785895</v>
      </c>
      <c r="X64" s="1921">
        <v>817712</v>
      </c>
      <c r="Y64" s="1921">
        <v>998322</v>
      </c>
      <c r="Z64" s="1921">
        <v>795607</v>
      </c>
      <c r="AA64" s="1921">
        <v>808550</v>
      </c>
      <c r="AB64" s="1921">
        <v>794478</v>
      </c>
      <c r="AC64" s="1921">
        <v>360145</v>
      </c>
      <c r="AD64" s="1921">
        <v>1105584</v>
      </c>
      <c r="AE64" s="1921">
        <v>837762</v>
      </c>
      <c r="AF64" s="1921">
        <v>802093</v>
      </c>
      <c r="AG64" s="1921">
        <v>815886</v>
      </c>
      <c r="AH64" s="1921">
        <v>1191956</v>
      </c>
      <c r="AI64" s="1921">
        <v>730282</v>
      </c>
      <c r="AJ64" s="1921">
        <v>809750</v>
      </c>
      <c r="AK64" s="1921">
        <v>870199</v>
      </c>
    </row>
    <row r="65" spans="1:37" s="654" customFormat="1" ht="14.1" customHeight="1" x14ac:dyDescent="0.25">
      <c r="A65" s="3519" t="s">
        <v>2733</v>
      </c>
      <c r="B65" s="3583"/>
      <c r="C65" s="2781">
        <f t="shared" si="7"/>
        <v>26527181</v>
      </c>
      <c r="D65" s="774">
        <f t="shared" si="6"/>
        <v>17.587025761890832</v>
      </c>
      <c r="E65" s="3573">
        <f>6.15+5.66+7.34+6.22+6.99+6.6+7.46+7.72+6.17+10.32+6.24+6.42+6.52+7.54+6.68+6.47+7.97+7.61+6.9+8.05+6.12+7.65+6.37+3.62+7.85+7.24+6+5.8+13.6+6+7+7.56</f>
        <v>225.84000000000003</v>
      </c>
      <c r="F65" s="3527">
        <v>727773</v>
      </c>
      <c r="G65" s="3527">
        <v>710542</v>
      </c>
      <c r="H65" s="3527">
        <v>745919</v>
      </c>
      <c r="I65" s="3527">
        <v>766353</v>
      </c>
      <c r="J65" s="3527">
        <v>792922</v>
      </c>
      <c r="K65" s="3527">
        <v>759335</v>
      </c>
      <c r="L65" s="3527">
        <v>825577</v>
      </c>
      <c r="M65" s="3527">
        <v>834719</v>
      </c>
      <c r="N65" s="3527">
        <v>796484</v>
      </c>
      <c r="O65" s="3527">
        <v>1433274</v>
      </c>
      <c r="P65" s="3527">
        <v>780105</v>
      </c>
      <c r="Q65" s="3527">
        <v>766217</v>
      </c>
      <c r="R65" s="3527">
        <v>822650</v>
      </c>
      <c r="S65" s="3527">
        <v>720017</v>
      </c>
      <c r="T65" s="3527">
        <v>786900</v>
      </c>
      <c r="U65" s="3527">
        <v>764582</v>
      </c>
      <c r="V65" s="3527">
        <v>886984</v>
      </c>
      <c r="W65" s="3527">
        <v>780773</v>
      </c>
      <c r="X65" s="3527">
        <v>814396</v>
      </c>
      <c r="Y65" s="3527">
        <v>965389</v>
      </c>
      <c r="Z65" s="3527">
        <v>800140</v>
      </c>
      <c r="AA65" s="3527">
        <v>805112</v>
      </c>
      <c r="AB65" s="3527">
        <v>800034</v>
      </c>
      <c r="AC65" s="3527">
        <v>291631</v>
      </c>
      <c r="AD65" s="3527">
        <v>1083205</v>
      </c>
      <c r="AE65" s="3527">
        <v>844549</v>
      </c>
      <c r="AF65" s="3527">
        <v>808746</v>
      </c>
      <c r="AG65" s="3527">
        <v>784468</v>
      </c>
      <c r="AH65" s="3527">
        <v>1410887</v>
      </c>
      <c r="AI65" s="3527">
        <v>726103</v>
      </c>
      <c r="AJ65" s="3527">
        <v>812544</v>
      </c>
      <c r="AK65" s="3527">
        <v>878851</v>
      </c>
    </row>
    <row r="66" spans="1:37" s="654" customFormat="1" ht="14.1" customHeight="1" x14ac:dyDescent="0.25">
      <c r="A66" s="1263" t="s">
        <v>2386</v>
      </c>
      <c r="B66" s="3505" t="s">
        <v>875</v>
      </c>
      <c r="C66" s="2781">
        <f t="shared" si="7"/>
        <v>26327525</v>
      </c>
      <c r="D66" s="774">
        <f t="shared" si="6"/>
        <v>17.628200331299027</v>
      </c>
      <c r="E66" s="3479"/>
      <c r="F66" s="2782">
        <v>753212</v>
      </c>
      <c r="G66" s="2782">
        <v>716201</v>
      </c>
      <c r="H66" s="2782">
        <v>726228</v>
      </c>
      <c r="I66" s="2782">
        <v>767273</v>
      </c>
      <c r="J66" s="2782">
        <v>789744</v>
      </c>
      <c r="K66" s="2782">
        <v>802306</v>
      </c>
      <c r="L66" s="2782">
        <v>818553</v>
      </c>
      <c r="M66" s="2782">
        <v>824272</v>
      </c>
      <c r="N66" s="2782">
        <v>862574</v>
      </c>
      <c r="O66" s="2782">
        <v>844585</v>
      </c>
      <c r="P66" s="2782">
        <v>820686</v>
      </c>
      <c r="Q66" s="2782">
        <v>771079</v>
      </c>
      <c r="R66" s="2782">
        <v>855173</v>
      </c>
      <c r="S66" s="2782">
        <v>736507</v>
      </c>
      <c r="T66" s="2782">
        <v>849328</v>
      </c>
      <c r="U66" s="2782">
        <v>793732</v>
      </c>
      <c r="V66" s="2782">
        <v>959629</v>
      </c>
      <c r="W66" s="2782">
        <v>842895</v>
      </c>
      <c r="X66" s="2782">
        <v>880863</v>
      </c>
      <c r="Y66" s="2782">
        <v>1102390</v>
      </c>
      <c r="Z66" s="2782">
        <v>835106</v>
      </c>
      <c r="AA66" s="2782">
        <v>860124</v>
      </c>
      <c r="AB66" s="2782">
        <v>826828</v>
      </c>
      <c r="AC66" s="2782">
        <v>290267</v>
      </c>
      <c r="AD66" s="2782">
        <v>1139106</v>
      </c>
      <c r="AE66" s="2782">
        <v>874652</v>
      </c>
      <c r="AF66" s="2782">
        <v>807812</v>
      </c>
      <c r="AG66" s="2782">
        <v>788403</v>
      </c>
      <c r="AH66" s="2782">
        <v>875402</v>
      </c>
      <c r="AI66" s="2782">
        <v>717855</v>
      </c>
      <c r="AJ66" s="2782">
        <v>866517</v>
      </c>
      <c r="AK66" s="2782">
        <v>928223</v>
      </c>
    </row>
    <row r="67" spans="1:37" s="654" customFormat="1" ht="14.1" customHeight="1" x14ac:dyDescent="0.25">
      <c r="A67" s="1914" t="s">
        <v>876</v>
      </c>
      <c r="B67" s="1915" t="s">
        <v>877</v>
      </c>
      <c r="C67" s="1916">
        <f t="shared" si="7"/>
        <v>26381116</v>
      </c>
      <c r="D67" s="774">
        <f t="shared" si="6"/>
        <v>17.669096380486202</v>
      </c>
      <c r="E67" s="3477"/>
      <c r="F67" s="1922">
        <v>758199</v>
      </c>
      <c r="G67" s="1922">
        <v>713768</v>
      </c>
      <c r="H67" s="1922">
        <v>730916</v>
      </c>
      <c r="I67" s="1922">
        <v>806076</v>
      </c>
      <c r="J67" s="1922">
        <v>808809</v>
      </c>
      <c r="K67" s="1922">
        <v>772772</v>
      </c>
      <c r="L67" s="1922">
        <v>916982</v>
      </c>
      <c r="M67" s="1922">
        <v>845120</v>
      </c>
      <c r="N67" s="1922">
        <v>896383</v>
      </c>
      <c r="O67" s="1922">
        <v>842120</v>
      </c>
      <c r="P67" s="1922">
        <v>791050</v>
      </c>
      <c r="Q67" s="1922">
        <v>793526</v>
      </c>
      <c r="R67" s="1922">
        <v>829476</v>
      </c>
      <c r="S67" s="1922">
        <v>766484</v>
      </c>
      <c r="T67" s="1922">
        <v>814853</v>
      </c>
      <c r="U67" s="1922">
        <v>892827</v>
      </c>
      <c r="V67" s="1922">
        <v>983107</v>
      </c>
      <c r="W67" s="1922">
        <v>794221</v>
      </c>
      <c r="X67" s="1922">
        <v>834433</v>
      </c>
      <c r="Y67" s="1922">
        <v>1080891</v>
      </c>
      <c r="Z67" s="1922">
        <v>810145</v>
      </c>
      <c r="AA67" s="1922">
        <v>811154</v>
      </c>
      <c r="AB67" s="1922">
        <v>812370</v>
      </c>
      <c r="AC67" s="1922">
        <v>298666</v>
      </c>
      <c r="AD67" s="1922">
        <v>1185274</v>
      </c>
      <c r="AE67" s="1922">
        <v>848217</v>
      </c>
      <c r="AF67" s="1922">
        <v>822874</v>
      </c>
      <c r="AG67" s="1922">
        <v>809902</v>
      </c>
      <c r="AH67" s="1922">
        <v>877263</v>
      </c>
      <c r="AI67" s="1922">
        <v>728318</v>
      </c>
      <c r="AJ67" s="1922">
        <v>822438</v>
      </c>
      <c r="AK67" s="1922">
        <v>882482</v>
      </c>
    </row>
    <row r="68" spans="1:37" s="654" customFormat="1" ht="14.1" customHeight="1" x14ac:dyDescent="0.25">
      <c r="A68" s="3574" t="s">
        <v>2387</v>
      </c>
      <c r="B68" s="3577" t="s">
        <v>878</v>
      </c>
      <c r="C68" s="1937">
        <f t="shared" si="7"/>
        <v>26639764</v>
      </c>
      <c r="D68" s="774">
        <f t="shared" si="6"/>
        <v>17.715450367450831</v>
      </c>
      <c r="E68" s="3579"/>
      <c r="F68" s="1426">
        <v>754171</v>
      </c>
      <c r="G68" s="1426">
        <v>763833</v>
      </c>
      <c r="H68" s="1426">
        <v>845715</v>
      </c>
      <c r="I68" s="1426">
        <v>754068</v>
      </c>
      <c r="J68" s="1426">
        <v>826450</v>
      </c>
      <c r="K68" s="1426">
        <v>792261</v>
      </c>
      <c r="L68" s="1426">
        <v>859868</v>
      </c>
      <c r="M68" s="1426">
        <v>856488</v>
      </c>
      <c r="N68" s="1426">
        <v>812148</v>
      </c>
      <c r="O68" s="1426">
        <v>985635</v>
      </c>
      <c r="P68" s="1426">
        <v>795922</v>
      </c>
      <c r="Q68" s="1426">
        <v>793294</v>
      </c>
      <c r="R68" s="1426">
        <v>838695</v>
      </c>
      <c r="S68" s="1426">
        <v>765106</v>
      </c>
      <c r="T68" s="1426">
        <v>815705</v>
      </c>
      <c r="U68" s="1426">
        <v>800181</v>
      </c>
      <c r="V68" s="1426">
        <v>925038</v>
      </c>
      <c r="W68" s="1426">
        <v>807809</v>
      </c>
      <c r="X68" s="1426">
        <v>837629</v>
      </c>
      <c r="Y68" s="1426">
        <v>984811</v>
      </c>
      <c r="Z68" s="1426">
        <v>808638</v>
      </c>
      <c r="AA68" s="1426">
        <v>824643</v>
      </c>
      <c r="AB68" s="1426">
        <v>801519</v>
      </c>
      <c r="AC68" s="1426">
        <v>416972</v>
      </c>
      <c r="AD68" s="1426">
        <v>1094225</v>
      </c>
      <c r="AE68" s="1426">
        <v>837554</v>
      </c>
      <c r="AF68" s="1426">
        <v>820144</v>
      </c>
      <c r="AG68" s="1426">
        <v>772113</v>
      </c>
      <c r="AH68" s="1426">
        <v>1237520</v>
      </c>
      <c r="AI68" s="1426">
        <v>722499</v>
      </c>
      <c r="AJ68" s="1426">
        <v>824039</v>
      </c>
      <c r="AK68" s="1426">
        <v>865071</v>
      </c>
    </row>
    <row r="69" spans="1:37" s="654" customFormat="1" ht="14.1" customHeight="1" x14ac:dyDescent="0.25">
      <c r="A69" s="3575" t="s">
        <v>2719</v>
      </c>
      <c r="B69" s="3578"/>
      <c r="C69" s="3510"/>
      <c r="D69" s="774">
        <f t="shared" si="6"/>
        <v>17.742918828946259</v>
      </c>
      <c r="E69" s="3477">
        <f>502.94+336.34+398.19+596.08+512.87+436.69+513.36+409.18+427.91+537.74+375.74+347.76+505.38+383.29+396.54+421.51+446.59+431.24+352.92+358.56+325+350.74+448.88+382.57+665.2+352.86+440.16+315.4+855.01+414.28+374.95+606.07</f>
        <v>14221.95</v>
      </c>
      <c r="F69" s="775">
        <v>783562</v>
      </c>
      <c r="G69" s="775">
        <v>737393</v>
      </c>
      <c r="H69" s="775">
        <v>745380</v>
      </c>
      <c r="I69" s="775">
        <v>801219</v>
      </c>
      <c r="J69" s="775">
        <v>824985</v>
      </c>
      <c r="K69" s="775">
        <v>790214</v>
      </c>
      <c r="L69" s="775">
        <v>849813</v>
      </c>
      <c r="M69" s="775">
        <v>865810</v>
      </c>
      <c r="N69" s="775">
        <v>835842</v>
      </c>
      <c r="O69" s="775">
        <v>859368</v>
      </c>
      <c r="P69" s="775">
        <v>822466</v>
      </c>
      <c r="Q69" s="775">
        <v>825457</v>
      </c>
      <c r="R69" s="775">
        <v>859246</v>
      </c>
      <c r="S69" s="775">
        <v>793228</v>
      </c>
      <c r="T69" s="775">
        <v>835715</v>
      </c>
      <c r="U69" s="775">
        <v>826688</v>
      </c>
      <c r="V69" s="775">
        <v>932699</v>
      </c>
      <c r="W69" s="775">
        <v>824744</v>
      </c>
      <c r="X69" s="775">
        <v>861844</v>
      </c>
      <c r="Y69" s="775">
        <v>1010914</v>
      </c>
      <c r="Z69" s="775">
        <v>835792</v>
      </c>
      <c r="AA69" s="775">
        <v>835897</v>
      </c>
      <c r="AB69" s="775">
        <v>832589</v>
      </c>
      <c r="AC69" s="775">
        <v>285715</v>
      </c>
      <c r="AD69" s="775">
        <v>1119553</v>
      </c>
      <c r="AE69" s="775">
        <v>871784</v>
      </c>
      <c r="AF69" s="775">
        <v>843782</v>
      </c>
      <c r="AG69" s="775">
        <v>836560</v>
      </c>
      <c r="AH69" s="775">
        <v>856906</v>
      </c>
      <c r="AI69" s="775">
        <v>750446</v>
      </c>
      <c r="AJ69" s="775">
        <v>843884</v>
      </c>
      <c r="AK69" s="775">
        <v>900396</v>
      </c>
    </row>
    <row r="70" spans="1:37" s="654" customFormat="1" ht="14.1" customHeight="1" x14ac:dyDescent="0.25">
      <c r="A70" s="3576" t="s">
        <v>2688</v>
      </c>
      <c r="B70" s="1900" t="s">
        <v>2731</v>
      </c>
      <c r="C70" s="1901">
        <f>SUM(F70:AM70)</f>
        <v>26583780</v>
      </c>
      <c r="D70" s="774">
        <f t="shared" si="6"/>
        <v>17.763313297716802</v>
      </c>
      <c r="E70" s="3146">
        <f>0.76+0.89+1.41+0.81+0.88+0.88+0.95+0.85+0.75+1.17+0.83+0.73+0.84+0.81+0.82+0.78+0.85+0.8+0.82+0.86+0.79+0.8+0.81+0.8+0.86+0.79+0.75+0.71+1.22+0.84+0.83+0.81</f>
        <v>27.499999999999993</v>
      </c>
      <c r="F70" s="1921">
        <v>785584</v>
      </c>
      <c r="G70" s="1921">
        <v>733760</v>
      </c>
      <c r="H70" s="1921">
        <v>789144</v>
      </c>
      <c r="I70" s="1921">
        <v>781413</v>
      </c>
      <c r="J70" s="1921">
        <v>825074</v>
      </c>
      <c r="K70" s="1921">
        <v>792180</v>
      </c>
      <c r="L70" s="1921">
        <v>827704</v>
      </c>
      <c r="M70" s="1921">
        <v>870395</v>
      </c>
      <c r="N70" s="1921">
        <v>809903</v>
      </c>
      <c r="O70" s="1921">
        <v>856166</v>
      </c>
      <c r="P70" s="1921">
        <v>823249</v>
      </c>
      <c r="Q70" s="1921">
        <v>827347</v>
      </c>
      <c r="R70" s="1921">
        <v>863434</v>
      </c>
      <c r="S70" s="1921">
        <v>793944</v>
      </c>
      <c r="T70" s="1921">
        <v>836923</v>
      </c>
      <c r="U70" s="1921">
        <v>826635</v>
      </c>
      <c r="V70" s="1921">
        <v>909219</v>
      </c>
      <c r="W70" s="1921">
        <v>829524</v>
      </c>
      <c r="X70" s="1921">
        <v>867442</v>
      </c>
      <c r="Y70" s="1921">
        <v>981418</v>
      </c>
      <c r="Z70" s="1921">
        <v>840215</v>
      </c>
      <c r="AA70" s="1921">
        <v>842965</v>
      </c>
      <c r="AB70" s="1921">
        <v>838111</v>
      </c>
      <c r="AC70" s="1921">
        <v>321183</v>
      </c>
      <c r="AD70" s="1921">
        <v>1095086</v>
      </c>
      <c r="AE70" s="1921">
        <v>877684</v>
      </c>
      <c r="AF70" s="1921">
        <v>846683</v>
      </c>
      <c r="AG70" s="1921">
        <v>839953</v>
      </c>
      <c r="AH70" s="1921">
        <v>940030</v>
      </c>
      <c r="AI70" s="1921">
        <v>753618</v>
      </c>
      <c r="AJ70" s="1921">
        <v>847487</v>
      </c>
      <c r="AK70" s="1921">
        <v>910307</v>
      </c>
    </row>
    <row r="71" spans="1:37" s="654" customFormat="1" ht="14.1" customHeight="1" x14ac:dyDescent="0.25">
      <c r="A71" s="2789" t="s">
        <v>2762</v>
      </c>
      <c r="B71" s="2519" t="s">
        <v>2682</v>
      </c>
      <c r="C71" s="1917">
        <f>SUM(F71:AM71)</f>
        <v>26993544</v>
      </c>
      <c r="D71" s="774">
        <f t="shared" si="6"/>
        <v>18.002853936562087</v>
      </c>
      <c r="E71" s="2916">
        <f>(18.4)+3.11+6.71+20.05+4.07+3.27+5.38+6.24+3.42+6.31+7.76+2.91+2.9+3.04+2.93+2.93+2.77+4.58+3.35+3.44+4.59+3.25+3.43+3.34+5+4.79+3.7+4.15+17.39+59.67+6.42+3.27+4.39</f>
        <v>236.96000000000004</v>
      </c>
      <c r="F71" s="1922">
        <v>775471</v>
      </c>
      <c r="G71" s="1922">
        <v>776209</v>
      </c>
      <c r="H71" s="1922">
        <v>852641</v>
      </c>
      <c r="I71" s="1922">
        <v>846410</v>
      </c>
      <c r="J71" s="1922">
        <v>812993</v>
      </c>
      <c r="K71" s="1922">
        <v>787477</v>
      </c>
      <c r="L71" s="1922">
        <v>829700</v>
      </c>
      <c r="M71" s="1922">
        <v>878550</v>
      </c>
      <c r="N71" s="1922">
        <v>827062</v>
      </c>
      <c r="O71" s="1922">
        <v>894046</v>
      </c>
      <c r="P71" s="1922">
        <v>792595</v>
      </c>
      <c r="Q71" s="1922">
        <v>811865</v>
      </c>
      <c r="R71" s="1922">
        <v>839665</v>
      </c>
      <c r="S71" s="1922">
        <v>765667</v>
      </c>
      <c r="T71" s="1922">
        <v>834375</v>
      </c>
      <c r="U71" s="1922">
        <v>816841</v>
      </c>
      <c r="V71" s="1922">
        <v>895182</v>
      </c>
      <c r="W71" s="1922">
        <v>821731</v>
      </c>
      <c r="X71" s="1922">
        <v>872354</v>
      </c>
      <c r="Y71" s="1922">
        <v>971738</v>
      </c>
      <c r="Z71" s="1922">
        <v>838419</v>
      </c>
      <c r="AA71" s="1922">
        <v>843739</v>
      </c>
      <c r="AB71" s="1922">
        <v>839923</v>
      </c>
      <c r="AC71" s="1922">
        <v>463856</v>
      </c>
      <c r="AD71" s="1922">
        <v>1094669</v>
      </c>
      <c r="AE71" s="1922">
        <v>891690</v>
      </c>
      <c r="AF71" s="1922">
        <v>890176</v>
      </c>
      <c r="AG71" s="1922">
        <v>868185</v>
      </c>
      <c r="AH71" s="1922">
        <v>949989</v>
      </c>
      <c r="AI71" s="1922">
        <v>817656</v>
      </c>
      <c r="AJ71" s="1922">
        <v>851238</v>
      </c>
      <c r="AK71" s="1922">
        <v>941432</v>
      </c>
    </row>
    <row r="72" spans="1:37" s="654" customFormat="1" ht="14.1" customHeight="1" x14ac:dyDescent="0.25">
      <c r="A72" s="1263" t="s">
        <v>879</v>
      </c>
      <c r="B72" s="1900" t="s">
        <v>880</v>
      </c>
      <c r="C72" s="1901">
        <f>SUM(F72:AM72)</f>
        <v>26946119</v>
      </c>
      <c r="D72" s="774">
        <f t="shared" si="6"/>
        <v>18.065182157884539</v>
      </c>
      <c r="E72" s="3146"/>
      <c r="F72" s="775">
        <v>780844</v>
      </c>
      <c r="G72" s="775">
        <v>755267</v>
      </c>
      <c r="H72" s="775">
        <v>770895</v>
      </c>
      <c r="I72" s="775">
        <v>824906</v>
      </c>
      <c r="J72" s="775">
        <v>818663</v>
      </c>
      <c r="K72" s="775">
        <v>801564</v>
      </c>
      <c r="L72" s="775">
        <v>946635</v>
      </c>
      <c r="M72" s="775">
        <v>859346</v>
      </c>
      <c r="N72" s="775">
        <v>916187</v>
      </c>
      <c r="O72" s="775">
        <v>876352</v>
      </c>
      <c r="P72" s="775">
        <v>817062</v>
      </c>
      <c r="Q72" s="775">
        <v>813425</v>
      </c>
      <c r="R72" s="775">
        <v>854480</v>
      </c>
      <c r="S72" s="775">
        <v>788941</v>
      </c>
      <c r="T72" s="775">
        <v>830719</v>
      </c>
      <c r="U72" s="775">
        <v>817479</v>
      </c>
      <c r="V72" s="775">
        <v>1009039</v>
      </c>
      <c r="W72" s="775">
        <v>820745</v>
      </c>
      <c r="X72" s="775">
        <v>857572</v>
      </c>
      <c r="Y72" s="775">
        <v>1107337</v>
      </c>
      <c r="Z72" s="775">
        <v>830619</v>
      </c>
      <c r="AA72" s="775">
        <v>829037</v>
      </c>
      <c r="AB72" s="775">
        <v>830903</v>
      </c>
      <c r="AC72" s="775">
        <v>314901</v>
      </c>
      <c r="AD72" s="775">
        <v>1208992</v>
      </c>
      <c r="AE72" s="775">
        <v>863805</v>
      </c>
      <c r="AF72" s="775">
        <v>836414</v>
      </c>
      <c r="AG72" s="775">
        <v>824569</v>
      </c>
      <c r="AH72" s="775">
        <v>850644</v>
      </c>
      <c r="AI72" s="775">
        <v>751008</v>
      </c>
      <c r="AJ72" s="775">
        <v>840398</v>
      </c>
      <c r="AK72" s="775">
        <v>897371</v>
      </c>
    </row>
    <row r="73" spans="1:37" s="654" customFormat="1" ht="14.1" customHeight="1" x14ac:dyDescent="0.25">
      <c r="A73" s="3502" t="s">
        <v>2388</v>
      </c>
      <c r="B73" s="1915"/>
      <c r="C73" s="1916">
        <f>SUM(F73:AM73)</f>
        <v>27310134</v>
      </c>
      <c r="D73" s="774">
        <f t="shared" si="6"/>
        <v>18.161763013391337</v>
      </c>
      <c r="E73" s="3477"/>
      <c r="F73" s="775">
        <v>763782</v>
      </c>
      <c r="G73" s="775">
        <v>772140</v>
      </c>
      <c r="H73" s="775">
        <v>858986</v>
      </c>
      <c r="I73" s="775">
        <v>813439</v>
      </c>
      <c r="J73" s="775">
        <v>847520</v>
      </c>
      <c r="K73" s="775">
        <v>824102</v>
      </c>
      <c r="L73" s="775">
        <v>880210</v>
      </c>
      <c r="M73" s="775">
        <v>894456</v>
      </c>
      <c r="N73" s="775">
        <v>830563</v>
      </c>
      <c r="O73" s="775">
        <v>988200</v>
      </c>
      <c r="P73" s="775">
        <v>811443</v>
      </c>
      <c r="Q73" s="775">
        <v>811313</v>
      </c>
      <c r="R73" s="775">
        <v>857535</v>
      </c>
      <c r="S73" s="775">
        <v>782638</v>
      </c>
      <c r="T73" s="775">
        <v>842509</v>
      </c>
      <c r="U73" s="775">
        <v>814515</v>
      </c>
      <c r="V73" s="775">
        <v>932947</v>
      </c>
      <c r="W73" s="775">
        <v>828521</v>
      </c>
      <c r="X73" s="775">
        <v>867493</v>
      </c>
      <c r="Y73" s="775">
        <v>998419</v>
      </c>
      <c r="Z73" s="775">
        <v>838683</v>
      </c>
      <c r="AA73" s="775">
        <v>850680</v>
      </c>
      <c r="AB73" s="775">
        <v>834140</v>
      </c>
      <c r="AC73" s="775">
        <v>347052</v>
      </c>
      <c r="AD73" s="775">
        <v>1108895</v>
      </c>
      <c r="AE73" s="775">
        <v>876307</v>
      </c>
      <c r="AF73" s="775">
        <v>851829</v>
      </c>
      <c r="AG73" s="775">
        <v>814713</v>
      </c>
      <c r="AH73" s="775">
        <v>1225444</v>
      </c>
      <c r="AI73" s="775">
        <v>768424</v>
      </c>
      <c r="AJ73" s="775">
        <v>855357</v>
      </c>
      <c r="AK73" s="775">
        <v>917879</v>
      </c>
    </row>
    <row r="74" spans="1:37" s="654" customFormat="1" ht="14.1" customHeight="1" x14ac:dyDescent="0.25">
      <c r="A74" s="1263" t="s">
        <v>2128</v>
      </c>
      <c r="B74" s="3565" t="s">
        <v>2129</v>
      </c>
      <c r="C74" s="1901"/>
      <c r="D74" s="774">
        <f t="shared" si="6"/>
        <v>18.297176608135974</v>
      </c>
      <c r="E74" s="3146">
        <f>1.5+1.8+2.4+1.4+1.9+1.6+1.9+2.3+2.3+1.7+1.4+1.3+1.4+1.6+1.4+1.6+1.9+1.4+1.5+1.9+1.9+1.6+1.4+1.5+3+1.9+2+1.2+5+2.2+1.4+1.4</f>
        <v>58.699999999999996</v>
      </c>
      <c r="F74" s="1921">
        <v>792867</v>
      </c>
      <c r="G74" s="1921">
        <v>770898</v>
      </c>
      <c r="H74" s="1921">
        <v>796684</v>
      </c>
      <c r="I74" s="1921">
        <v>900629</v>
      </c>
      <c r="J74" s="1921">
        <v>816336</v>
      </c>
      <c r="K74" s="1921">
        <v>784634</v>
      </c>
      <c r="L74" s="1921">
        <v>905954</v>
      </c>
      <c r="M74" s="1921">
        <v>881262</v>
      </c>
      <c r="N74" s="1921">
        <v>895726</v>
      </c>
      <c r="O74" s="1921">
        <v>888696</v>
      </c>
      <c r="P74" s="1921">
        <v>810504</v>
      </c>
      <c r="Q74" s="1921">
        <v>825776</v>
      </c>
      <c r="R74" s="1921">
        <v>851513</v>
      </c>
      <c r="S74" s="1921">
        <v>779560</v>
      </c>
      <c r="T74" s="1921">
        <v>833298</v>
      </c>
      <c r="U74" s="1921">
        <v>819546</v>
      </c>
      <c r="V74" s="1921">
        <v>982631</v>
      </c>
      <c r="W74" s="1921">
        <v>816640</v>
      </c>
      <c r="X74" s="1921">
        <v>866712</v>
      </c>
      <c r="Y74" s="1921">
        <v>1081017</v>
      </c>
      <c r="Z74" s="1921">
        <v>851234</v>
      </c>
      <c r="AA74" s="1921">
        <v>834594</v>
      </c>
      <c r="AB74" s="1921">
        <v>829140</v>
      </c>
      <c r="AC74" s="1921">
        <v>401885</v>
      </c>
      <c r="AD74" s="1921">
        <v>1190839</v>
      </c>
      <c r="AE74" s="1921">
        <v>893029</v>
      </c>
      <c r="AF74" s="1921">
        <v>907351</v>
      </c>
      <c r="AG74" s="1921">
        <v>869383</v>
      </c>
      <c r="AH74" s="1921">
        <v>874202</v>
      </c>
      <c r="AI74" s="1921">
        <v>771566</v>
      </c>
      <c r="AJ74" s="1921">
        <v>859331</v>
      </c>
      <c r="AK74" s="1921">
        <v>935959</v>
      </c>
    </row>
    <row r="75" spans="1:37" s="654" customFormat="1" ht="14.1" customHeight="1" x14ac:dyDescent="0.25">
      <c r="A75" s="3507" t="s">
        <v>225</v>
      </c>
      <c r="B75" s="3567" t="s">
        <v>2752</v>
      </c>
      <c r="C75" s="1917"/>
      <c r="D75" s="774">
        <f t="shared" si="6"/>
        <v>18.354901803363834</v>
      </c>
      <c r="E75" s="3477">
        <f>2.51+1.5+1.39+2.84+2.13+1.89+3.44+2.79+3.52+1.8+2.78+3.2+3.29+3.07+3.51+3.11+4.45+3.02+3.26+5.12+2.94+2.79+3.08+0.7+5.22+3.22+3.17+2.93+1.45+1.74+2.68+3.25</f>
        <v>91.79</v>
      </c>
      <c r="F75" s="1922">
        <v>776745</v>
      </c>
      <c r="G75" s="1922">
        <v>778158</v>
      </c>
      <c r="H75" s="1922">
        <v>811453</v>
      </c>
      <c r="I75" s="1922">
        <v>834598</v>
      </c>
      <c r="J75" s="1922">
        <v>844973</v>
      </c>
      <c r="K75" s="1922">
        <v>797896</v>
      </c>
      <c r="L75" s="1922">
        <v>922943</v>
      </c>
      <c r="M75" s="1922">
        <v>886768</v>
      </c>
      <c r="N75" s="1922">
        <v>916157</v>
      </c>
      <c r="O75" s="1922">
        <v>945192</v>
      </c>
      <c r="P75" s="1922">
        <v>809213</v>
      </c>
      <c r="Q75" s="1922">
        <v>825918</v>
      </c>
      <c r="R75" s="1922">
        <v>843262</v>
      </c>
      <c r="S75" s="1922">
        <v>765483</v>
      </c>
      <c r="T75" s="1922">
        <v>832739</v>
      </c>
      <c r="U75" s="1922">
        <v>814683</v>
      </c>
      <c r="V75" s="1922">
        <v>1013630</v>
      </c>
      <c r="W75" s="1922">
        <v>820034</v>
      </c>
      <c r="X75" s="1922">
        <v>853675</v>
      </c>
      <c r="Y75" s="1922">
        <v>1087228</v>
      </c>
      <c r="Z75" s="1922">
        <v>828519</v>
      </c>
      <c r="AA75" s="1922">
        <v>852672</v>
      </c>
      <c r="AB75" s="1922">
        <v>827213</v>
      </c>
      <c r="AC75" s="1922">
        <v>377034</v>
      </c>
      <c r="AD75" s="1922">
        <v>1211830</v>
      </c>
      <c r="AE75" s="1922">
        <v>883423</v>
      </c>
      <c r="AF75" s="1922">
        <v>843193</v>
      </c>
      <c r="AG75" s="1922">
        <v>830439</v>
      </c>
      <c r="AH75" s="1922">
        <v>1234912</v>
      </c>
      <c r="AI75" s="1922">
        <v>756880</v>
      </c>
      <c r="AJ75" s="1922">
        <v>857003</v>
      </c>
      <c r="AK75" s="1922">
        <v>914904</v>
      </c>
    </row>
    <row r="76" spans="1:37" s="654" customFormat="1" ht="14.1" customHeight="1" x14ac:dyDescent="0.25">
      <c r="A76" s="4667" t="s">
        <v>2715</v>
      </c>
      <c r="B76" s="4668" t="s">
        <v>2716</v>
      </c>
      <c r="C76" s="778"/>
      <c r="D76" s="774">
        <f t="shared" si="6"/>
        <v>18.389477284353639</v>
      </c>
      <c r="E76" s="3579">
        <f>0.81+0.92+1.24+0.82+0.93+0.91+1.05+0.84+0.76+1.31+0.81+0.72+0.88+0.79+0.84+0.8+0.92+0.84+0.85+0.96+0.77+0.83+0.81+0.68+0.93+0.75+0.75+0.71+2.06+0.89+0.84+0.81</f>
        <v>28.830000000000002</v>
      </c>
      <c r="F76" s="775">
        <v>803108</v>
      </c>
      <c r="G76" s="775">
        <v>757842</v>
      </c>
      <c r="H76" s="775">
        <v>774325</v>
      </c>
      <c r="I76" s="775">
        <v>839103</v>
      </c>
      <c r="J76" s="775">
        <v>848220</v>
      </c>
      <c r="K76" s="775">
        <v>804516</v>
      </c>
      <c r="L76" s="775">
        <v>905991</v>
      </c>
      <c r="M76" s="775">
        <v>888435</v>
      </c>
      <c r="N76" s="775">
        <v>895442</v>
      </c>
      <c r="O76" s="775">
        <v>886195</v>
      </c>
      <c r="P76" s="775">
        <v>843914</v>
      </c>
      <c r="Q76" s="775">
        <v>848801</v>
      </c>
      <c r="R76" s="775">
        <v>881303</v>
      </c>
      <c r="S76" s="775">
        <v>814800</v>
      </c>
      <c r="T76" s="775">
        <v>857708</v>
      </c>
      <c r="U76" s="775">
        <v>849330</v>
      </c>
      <c r="V76" s="775">
        <v>996660</v>
      </c>
      <c r="W76" s="775">
        <v>848803</v>
      </c>
      <c r="X76" s="775">
        <v>885373</v>
      </c>
      <c r="Y76" s="775">
        <v>1077288</v>
      </c>
      <c r="Z76" s="775">
        <v>857994</v>
      </c>
      <c r="AA76" s="775">
        <v>860181</v>
      </c>
      <c r="AB76" s="775">
        <v>853914</v>
      </c>
      <c r="AC76" s="775">
        <v>311411</v>
      </c>
      <c r="AD76" s="775">
        <v>1188486</v>
      </c>
      <c r="AE76" s="775">
        <v>897842</v>
      </c>
      <c r="AF76" s="775">
        <v>863589</v>
      </c>
      <c r="AG76" s="775">
        <v>870465</v>
      </c>
      <c r="AH76" s="775">
        <v>883600</v>
      </c>
      <c r="AI76" s="775">
        <v>775460</v>
      </c>
      <c r="AJ76" s="775">
        <v>864200</v>
      </c>
      <c r="AK76" s="775">
        <v>926640</v>
      </c>
    </row>
    <row r="77" spans="1:37" s="654" customFormat="1" ht="14.1" customHeight="1" x14ac:dyDescent="0.25">
      <c r="A77" s="2784" t="s">
        <v>2486</v>
      </c>
      <c r="B77" s="4669"/>
      <c r="C77" s="1920">
        <f>SUM(F77:AM77)</f>
        <v>27551636</v>
      </c>
      <c r="D77" s="774">
        <f t="shared" si="6"/>
        <v>18.458283260885676</v>
      </c>
      <c r="E77" s="4670">
        <f>8.6+0+16.46+12.49+12.38+9.41+7.02+10.56+9.14+9.96+12.92+6.73+8.21+7.49+7.15+7.2+7.35+9.58+7.87+8.12+14.33+8.13+7.2+7.37+4.45+15.93+7.61+10.63+6.51+7.74+12.91+7.02+7.74</f>
        <v>296.21000000000009</v>
      </c>
      <c r="F77" s="775">
        <v>799917</v>
      </c>
      <c r="G77" s="775">
        <v>762546</v>
      </c>
      <c r="H77" s="775">
        <v>888506</v>
      </c>
      <c r="I77" s="775">
        <v>891205</v>
      </c>
      <c r="J77" s="775">
        <v>820540</v>
      </c>
      <c r="K77" s="775">
        <v>812551</v>
      </c>
      <c r="L77" s="775">
        <v>987576</v>
      </c>
      <c r="M77" s="775">
        <v>887318</v>
      </c>
      <c r="N77" s="775">
        <v>956896</v>
      </c>
      <c r="O77" s="775">
        <v>893275</v>
      </c>
      <c r="P77" s="775">
        <v>816440</v>
      </c>
      <c r="Q77" s="775">
        <v>823016</v>
      </c>
      <c r="R77" s="775">
        <v>852037</v>
      </c>
      <c r="S77" s="775">
        <v>793609</v>
      </c>
      <c r="T77" s="775">
        <v>840906</v>
      </c>
      <c r="U77" s="775">
        <v>818737</v>
      </c>
      <c r="V77" s="775">
        <v>1028548</v>
      </c>
      <c r="W77" s="775">
        <v>838871</v>
      </c>
      <c r="X77" s="775">
        <v>869268</v>
      </c>
      <c r="Y77" s="775">
        <v>1108915</v>
      </c>
      <c r="Z77" s="775">
        <v>834982</v>
      </c>
      <c r="AA77" s="775">
        <v>849205</v>
      </c>
      <c r="AB77" s="775">
        <v>834234</v>
      </c>
      <c r="AC77" s="775">
        <v>312217</v>
      </c>
      <c r="AD77" s="775">
        <v>1232888</v>
      </c>
      <c r="AE77" s="775">
        <v>874183</v>
      </c>
      <c r="AF77" s="775">
        <v>887099</v>
      </c>
      <c r="AG77" s="775">
        <v>812287</v>
      </c>
      <c r="AH77" s="775">
        <v>834324</v>
      </c>
      <c r="AI77" s="775">
        <v>820581</v>
      </c>
      <c r="AJ77" s="775">
        <v>849146</v>
      </c>
      <c r="AK77" s="775">
        <v>919813</v>
      </c>
    </row>
    <row r="78" spans="1:37" s="654" customFormat="1" ht="14.1" customHeight="1" x14ac:dyDescent="0.25">
      <c r="A78" s="1214" t="s">
        <v>2709</v>
      </c>
      <c r="B78" s="3522" t="s">
        <v>2710</v>
      </c>
      <c r="C78" s="778"/>
      <c r="D78" s="774">
        <f t="shared" si="6"/>
        <v>18.490928440167671</v>
      </c>
      <c r="E78" s="3146">
        <f>1.06+2.04+2.2+1.06+1.24+1.18+1.36+1.15+1.05+2.45+1.08+1.01+1.16+1.08+1.12+1.04+1.23+1.13+1.16+1.25+1.09+1.12+1.09+0.79+1.23+1.06+1.05+0.96+3.62+1.63+1.12+1.13</f>
        <v>41.940000000000005</v>
      </c>
      <c r="F78" s="1921">
        <v>803529</v>
      </c>
      <c r="G78" s="1921">
        <v>760321</v>
      </c>
      <c r="H78" s="1921">
        <v>778825</v>
      </c>
      <c r="I78" s="1921">
        <v>840344</v>
      </c>
      <c r="J78" s="1921">
        <v>858784</v>
      </c>
      <c r="K78" s="1921">
        <v>809744</v>
      </c>
      <c r="L78" s="1921">
        <v>915188</v>
      </c>
      <c r="M78" s="1921">
        <v>894886</v>
      </c>
      <c r="N78" s="1921">
        <v>901622</v>
      </c>
      <c r="O78" s="1921">
        <v>893211</v>
      </c>
      <c r="P78" s="1921">
        <v>845427</v>
      </c>
      <c r="Q78" s="1921">
        <v>848121</v>
      </c>
      <c r="R78" s="1921">
        <v>883868</v>
      </c>
      <c r="S78" s="1921">
        <v>817547</v>
      </c>
      <c r="T78" s="1921">
        <v>862293</v>
      </c>
      <c r="U78" s="1921">
        <v>847850</v>
      </c>
      <c r="V78" s="1921">
        <v>997928</v>
      </c>
      <c r="W78" s="1921">
        <v>849730</v>
      </c>
      <c r="X78" s="1921">
        <v>889372</v>
      </c>
      <c r="Y78" s="1921">
        <v>1081983</v>
      </c>
      <c r="Z78" s="1921">
        <v>861756</v>
      </c>
      <c r="AA78" s="1921">
        <v>864666</v>
      </c>
      <c r="AB78" s="1921">
        <v>860243</v>
      </c>
      <c r="AC78" s="1921">
        <v>325009</v>
      </c>
      <c r="AD78" s="1921">
        <v>1190656</v>
      </c>
      <c r="AE78" s="1921">
        <v>902213</v>
      </c>
      <c r="AF78" s="1921">
        <v>866906</v>
      </c>
      <c r="AG78" s="1921">
        <v>874316</v>
      </c>
      <c r="AH78" s="1921">
        <v>922390</v>
      </c>
      <c r="AI78" s="1921">
        <v>779726</v>
      </c>
      <c r="AJ78" s="1921">
        <v>869734</v>
      </c>
      <c r="AK78" s="1921">
        <v>933054</v>
      </c>
    </row>
    <row r="79" spans="1:37" s="654" customFormat="1" ht="14.1" customHeight="1" x14ac:dyDescent="0.25">
      <c r="A79" s="3556" t="s">
        <v>2219</v>
      </c>
      <c r="B79" s="3521"/>
      <c r="C79" s="1916">
        <f t="shared" ref="C79:C84" si="8">SUM(F79:AM79)</f>
        <v>27604685</v>
      </c>
      <c r="D79" s="774">
        <f t="shared" si="6"/>
        <v>18.499676162018414</v>
      </c>
      <c r="E79" s="3484">
        <f>17.2+20.9+21.2+21.8+18+15.9+20.8+15.3+17.5+21.7+15.3+19.7+16.8+15.9+17.1+16.3+21.3+15.8+15.5+24.3+18.7+15.2+14.8+11.2+27.5+14.7+18.7+13.8+11.1+18.5+13.7+15.7</f>
        <v>561.90000000000009</v>
      </c>
      <c r="F79" s="1922">
        <v>800904</v>
      </c>
      <c r="G79" s="1922">
        <v>753527</v>
      </c>
      <c r="H79" s="1922">
        <v>885471</v>
      </c>
      <c r="I79" s="1922">
        <v>897281</v>
      </c>
      <c r="J79" s="1922">
        <v>824797</v>
      </c>
      <c r="K79" s="1922">
        <v>815177</v>
      </c>
      <c r="L79" s="1922">
        <v>989561</v>
      </c>
      <c r="M79" s="1922">
        <v>889054</v>
      </c>
      <c r="N79" s="1922">
        <v>957900</v>
      </c>
      <c r="O79" s="1922">
        <v>892038</v>
      </c>
      <c r="P79" s="1922">
        <v>824685</v>
      </c>
      <c r="Q79" s="1922">
        <v>825911</v>
      </c>
      <c r="R79" s="1922">
        <v>853516</v>
      </c>
      <c r="S79" s="1922">
        <v>794422</v>
      </c>
      <c r="T79" s="1922">
        <v>848963</v>
      </c>
      <c r="U79" s="1922">
        <v>818376</v>
      </c>
      <c r="V79" s="1922">
        <v>1031239</v>
      </c>
      <c r="W79" s="1922">
        <v>834832</v>
      </c>
      <c r="X79" s="1922">
        <v>876281</v>
      </c>
      <c r="Y79" s="1922">
        <v>1110688</v>
      </c>
      <c r="Z79" s="1922">
        <v>841617</v>
      </c>
      <c r="AA79" s="1922">
        <v>851991</v>
      </c>
      <c r="AB79" s="1922">
        <v>836302</v>
      </c>
      <c r="AC79" s="1922">
        <v>315645</v>
      </c>
      <c r="AD79" s="1922">
        <v>1231916</v>
      </c>
      <c r="AE79" s="1922">
        <v>877693</v>
      </c>
      <c r="AF79" s="1922">
        <v>897112</v>
      </c>
      <c r="AG79" s="1922">
        <v>808354</v>
      </c>
      <c r="AH79" s="1922">
        <v>825372</v>
      </c>
      <c r="AI79" s="1922">
        <v>820155</v>
      </c>
      <c r="AJ79" s="1922">
        <v>850656</v>
      </c>
      <c r="AK79" s="1922">
        <v>923249</v>
      </c>
    </row>
    <row r="80" spans="1:37" s="654" customFormat="1" ht="14.1" customHeight="1" x14ac:dyDescent="0.25">
      <c r="A80" s="2515" t="s">
        <v>2212</v>
      </c>
      <c r="B80" s="1900"/>
      <c r="C80" s="2915">
        <f t="shared" si="8"/>
        <v>27640429</v>
      </c>
      <c r="D80" s="774">
        <f t="shared" si="6"/>
        <v>18.519203602384895</v>
      </c>
      <c r="E80" s="3146"/>
      <c r="F80" s="775">
        <v>802506</v>
      </c>
      <c r="G80" s="775">
        <v>762770</v>
      </c>
      <c r="H80" s="775">
        <v>891589</v>
      </c>
      <c r="I80" s="775">
        <v>897573</v>
      </c>
      <c r="J80" s="775">
        <v>824777</v>
      </c>
      <c r="K80" s="775">
        <v>814965</v>
      </c>
      <c r="L80" s="775">
        <v>989605</v>
      </c>
      <c r="M80" s="775">
        <v>893505</v>
      </c>
      <c r="N80" s="775">
        <v>959938</v>
      </c>
      <c r="O80" s="775">
        <v>894849</v>
      </c>
      <c r="P80" s="775">
        <v>820454</v>
      </c>
      <c r="Q80" s="775">
        <v>826035</v>
      </c>
      <c r="R80" s="775">
        <v>853616</v>
      </c>
      <c r="S80" s="775">
        <v>794087</v>
      </c>
      <c r="T80" s="775">
        <v>849214</v>
      </c>
      <c r="U80" s="775">
        <v>817828</v>
      </c>
      <c r="V80" s="775">
        <v>1030546</v>
      </c>
      <c r="W80" s="775">
        <v>834217</v>
      </c>
      <c r="X80" s="775">
        <v>876292</v>
      </c>
      <c r="Y80" s="775">
        <v>1110841</v>
      </c>
      <c r="Z80" s="775">
        <v>841185</v>
      </c>
      <c r="AA80" s="775">
        <v>851419</v>
      </c>
      <c r="AB80" s="775">
        <v>837271</v>
      </c>
      <c r="AC80" s="775">
        <v>314817</v>
      </c>
      <c r="AD80" s="775">
        <v>1231244</v>
      </c>
      <c r="AE80" s="775">
        <v>878457</v>
      </c>
      <c r="AF80" s="775">
        <v>893772</v>
      </c>
      <c r="AG80" s="775">
        <v>815873</v>
      </c>
      <c r="AH80" s="775">
        <v>835101</v>
      </c>
      <c r="AI80" s="775">
        <v>821754</v>
      </c>
      <c r="AJ80" s="775">
        <v>850274</v>
      </c>
      <c r="AK80" s="775">
        <v>924055</v>
      </c>
    </row>
    <row r="81" spans="1:37" s="654" customFormat="1" ht="14.1" customHeight="1" x14ac:dyDescent="0.25">
      <c r="A81" s="1914" t="s">
        <v>2389</v>
      </c>
      <c r="B81" s="1915"/>
      <c r="C81" s="2923">
        <f t="shared" si="8"/>
        <v>27666474</v>
      </c>
      <c r="D81" s="774">
        <f t="shared" si="6"/>
        <v>18.536841928995649</v>
      </c>
      <c r="E81" s="3477"/>
      <c r="F81" s="775">
        <v>803319</v>
      </c>
      <c r="G81" s="775">
        <v>763270</v>
      </c>
      <c r="H81" s="775">
        <v>892035</v>
      </c>
      <c r="I81" s="775">
        <v>898385</v>
      </c>
      <c r="J81" s="775">
        <v>825341</v>
      </c>
      <c r="K81" s="775">
        <v>816050</v>
      </c>
      <c r="L81" s="775">
        <v>990872</v>
      </c>
      <c r="M81" s="775">
        <v>893949</v>
      </c>
      <c r="N81" s="775">
        <v>960815</v>
      </c>
      <c r="O81" s="775">
        <v>895328</v>
      </c>
      <c r="P81" s="775">
        <v>821279</v>
      </c>
      <c r="Q81" s="775">
        <v>826683</v>
      </c>
      <c r="R81" s="775">
        <v>854713</v>
      </c>
      <c r="S81" s="775">
        <v>794810</v>
      </c>
      <c r="T81" s="775">
        <v>849709</v>
      </c>
      <c r="U81" s="775">
        <v>819008</v>
      </c>
      <c r="V81" s="775">
        <v>1031321</v>
      </c>
      <c r="W81" s="775">
        <v>835290</v>
      </c>
      <c r="X81" s="775">
        <v>877103</v>
      </c>
      <c r="Y81" s="775">
        <v>1112574</v>
      </c>
      <c r="Z81" s="775">
        <v>842021</v>
      </c>
      <c r="AA81" s="775">
        <v>852037</v>
      </c>
      <c r="AB81" s="775">
        <v>838121</v>
      </c>
      <c r="AC81" s="775">
        <v>314941</v>
      </c>
      <c r="AD81" s="775">
        <v>1232973</v>
      </c>
      <c r="AE81" s="775">
        <v>879032</v>
      </c>
      <c r="AF81" s="775">
        <v>894691</v>
      </c>
      <c r="AG81" s="775">
        <v>816611</v>
      </c>
      <c r="AH81" s="775">
        <v>835716</v>
      </c>
      <c r="AI81" s="775">
        <v>822305</v>
      </c>
      <c r="AJ81" s="775">
        <v>851335</v>
      </c>
      <c r="AK81" s="775">
        <v>924837</v>
      </c>
    </row>
    <row r="82" spans="1:37" s="654" customFormat="1" ht="14.1" customHeight="1" x14ac:dyDescent="0.25">
      <c r="A82" s="3518" t="s">
        <v>2594</v>
      </c>
      <c r="B82" s="1900" t="s">
        <v>881</v>
      </c>
      <c r="C82" s="1901">
        <f t="shared" si="8"/>
        <v>27685720</v>
      </c>
      <c r="D82" s="774">
        <f t="shared" si="6"/>
        <v>18.550898742013789</v>
      </c>
      <c r="E82" s="3146"/>
      <c r="F82" s="1921">
        <v>809411</v>
      </c>
      <c r="G82" s="1921">
        <v>759916</v>
      </c>
      <c r="H82" s="1921">
        <v>781426</v>
      </c>
      <c r="I82" s="1921">
        <v>851144</v>
      </c>
      <c r="J82" s="1921">
        <v>848596</v>
      </c>
      <c r="K82" s="1921">
        <v>815118</v>
      </c>
      <c r="L82" s="1921">
        <v>928804</v>
      </c>
      <c r="M82" s="1921">
        <v>894858</v>
      </c>
      <c r="N82" s="1921">
        <v>914475</v>
      </c>
      <c r="O82" s="1921">
        <v>889004</v>
      </c>
      <c r="P82" s="1921">
        <v>847902</v>
      </c>
      <c r="Q82" s="1921">
        <v>851839</v>
      </c>
      <c r="R82" s="1921">
        <v>886187</v>
      </c>
      <c r="S82" s="1921">
        <v>818763</v>
      </c>
      <c r="T82" s="1921">
        <v>862354</v>
      </c>
      <c r="U82" s="1921">
        <v>853726</v>
      </c>
      <c r="V82" s="1921">
        <v>1013905</v>
      </c>
      <c r="W82" s="1921">
        <v>854195</v>
      </c>
      <c r="X82" s="1921">
        <v>892106</v>
      </c>
      <c r="Y82" s="1921">
        <v>1102619</v>
      </c>
      <c r="Z82" s="1921">
        <v>864143</v>
      </c>
      <c r="AA82" s="1921">
        <v>865460</v>
      </c>
      <c r="AB82" s="1921">
        <v>860745</v>
      </c>
      <c r="AC82" s="1921">
        <v>312511</v>
      </c>
      <c r="AD82" s="1921">
        <v>1213495</v>
      </c>
      <c r="AE82" s="1921">
        <v>900293</v>
      </c>
      <c r="AF82" s="1921">
        <v>871994</v>
      </c>
      <c r="AG82" s="1921">
        <v>861187</v>
      </c>
      <c r="AH82" s="1921">
        <v>881410</v>
      </c>
      <c r="AI82" s="1921">
        <v>775183</v>
      </c>
      <c r="AJ82" s="1921">
        <v>871058</v>
      </c>
      <c r="AK82" s="1921">
        <v>931893</v>
      </c>
    </row>
    <row r="83" spans="1:37" s="654" customFormat="1" ht="14.1" customHeight="1" x14ac:dyDescent="0.25">
      <c r="A83" s="3488" t="s">
        <v>2759</v>
      </c>
      <c r="B83" s="3567"/>
      <c r="C83" s="1917">
        <f t="shared" si="8"/>
        <v>27805963</v>
      </c>
      <c r="D83" s="774">
        <f t="shared" si="6"/>
        <v>18.616714374113567</v>
      </c>
      <c r="E83" s="3477">
        <f>47.22+39.02+50.92+53.77+22.15+50.51+59.2+55.64+15.48+62.23+58.13+45.82+52.63+16.29+17.02+48.88+58.28+16.38+53.23+58.58+53.38+54.83+55.55+7.33+19.88+16.35+15.48+56.75+77.69+54.59+47.72+18.17</f>
        <v>1359.1000000000001</v>
      </c>
      <c r="F83" s="1922">
        <v>799916</v>
      </c>
      <c r="G83" s="1922">
        <v>761710</v>
      </c>
      <c r="H83" s="1922">
        <v>788619</v>
      </c>
      <c r="I83" s="1922">
        <v>852807</v>
      </c>
      <c r="J83" s="1922">
        <v>851809</v>
      </c>
      <c r="K83" s="1922">
        <v>814768</v>
      </c>
      <c r="L83" s="1922">
        <v>958488</v>
      </c>
      <c r="M83" s="1922">
        <v>899459</v>
      </c>
      <c r="N83" s="1922">
        <v>939650</v>
      </c>
      <c r="O83" s="1922">
        <v>910954</v>
      </c>
      <c r="P83" s="1922">
        <v>837231</v>
      </c>
      <c r="Q83" s="1922">
        <v>842243</v>
      </c>
      <c r="R83" s="1922">
        <v>879542</v>
      </c>
      <c r="S83" s="1922">
        <v>807070</v>
      </c>
      <c r="T83" s="1922">
        <v>860529</v>
      </c>
      <c r="U83" s="1922">
        <v>843628</v>
      </c>
      <c r="V83" s="1922">
        <v>1040554</v>
      </c>
      <c r="W83" s="1922">
        <v>844991</v>
      </c>
      <c r="X83" s="1922">
        <v>883306</v>
      </c>
      <c r="Y83" s="1922">
        <v>1131136</v>
      </c>
      <c r="Z83" s="1922">
        <v>855993</v>
      </c>
      <c r="AA83" s="1922">
        <v>863654</v>
      </c>
      <c r="AB83" s="1922">
        <v>853014</v>
      </c>
      <c r="AC83" s="1922">
        <v>310116</v>
      </c>
      <c r="AD83" s="1922">
        <v>1253014</v>
      </c>
      <c r="AE83" s="1922">
        <v>897035</v>
      </c>
      <c r="AF83" s="1922">
        <v>873478</v>
      </c>
      <c r="AG83" s="1922">
        <v>848865</v>
      </c>
      <c r="AH83" s="1922">
        <v>931488</v>
      </c>
      <c r="AI83" s="1922">
        <v>770597</v>
      </c>
      <c r="AJ83" s="1922">
        <v>867905</v>
      </c>
      <c r="AK83" s="1922">
        <v>932394</v>
      </c>
    </row>
    <row r="84" spans="1:37" s="654" customFormat="1" ht="14.1" customHeight="1" x14ac:dyDescent="0.25">
      <c r="A84" s="3555" t="s">
        <v>1657</v>
      </c>
      <c r="B84" s="1900" t="s">
        <v>882</v>
      </c>
      <c r="C84" s="1901">
        <f t="shared" si="8"/>
        <v>27815986</v>
      </c>
      <c r="D84" s="774">
        <f t="shared" si="6"/>
        <v>18.635406672518187</v>
      </c>
      <c r="E84" s="3146"/>
      <c r="F84" s="775">
        <v>809930</v>
      </c>
      <c r="G84" s="775">
        <v>763103</v>
      </c>
      <c r="H84" s="775">
        <v>784563</v>
      </c>
      <c r="I84" s="775">
        <v>855514</v>
      </c>
      <c r="J84" s="775">
        <v>852523</v>
      </c>
      <c r="K84" s="775">
        <v>814038</v>
      </c>
      <c r="L84" s="775">
        <v>941081</v>
      </c>
      <c r="M84" s="775">
        <v>897387</v>
      </c>
      <c r="N84" s="775">
        <v>927541</v>
      </c>
      <c r="O84" s="775">
        <v>890614</v>
      </c>
      <c r="P84" s="775">
        <v>848304</v>
      </c>
      <c r="Q84" s="775">
        <v>853038</v>
      </c>
      <c r="R84" s="775">
        <v>887404</v>
      </c>
      <c r="S84" s="775">
        <v>819903</v>
      </c>
      <c r="T84" s="775">
        <v>862375</v>
      </c>
      <c r="U84" s="775">
        <v>853942</v>
      </c>
      <c r="V84" s="775">
        <v>1026822</v>
      </c>
      <c r="W84" s="775">
        <v>854649</v>
      </c>
      <c r="X84" s="775">
        <v>893001</v>
      </c>
      <c r="Y84" s="775">
        <v>1115224</v>
      </c>
      <c r="Z84" s="775">
        <v>864844</v>
      </c>
      <c r="AA84" s="775">
        <v>867021</v>
      </c>
      <c r="AB84" s="775">
        <v>861968</v>
      </c>
      <c r="AC84" s="775">
        <v>322848</v>
      </c>
      <c r="AD84" s="775">
        <v>1226646</v>
      </c>
      <c r="AE84" s="775">
        <v>903044</v>
      </c>
      <c r="AF84" s="775">
        <v>873908</v>
      </c>
      <c r="AG84" s="775">
        <v>871069</v>
      </c>
      <c r="AH84" s="775">
        <v>889633</v>
      </c>
      <c r="AI84" s="775">
        <v>778897</v>
      </c>
      <c r="AJ84" s="775">
        <v>871847</v>
      </c>
      <c r="AK84" s="775">
        <v>933305</v>
      </c>
    </row>
    <row r="85" spans="1:37" s="654" customFormat="1" ht="14.1" customHeight="1" x14ac:dyDescent="0.25">
      <c r="A85" s="4676" t="s">
        <v>2693</v>
      </c>
      <c r="B85" s="4677" t="s">
        <v>1819</v>
      </c>
      <c r="C85" s="2781"/>
      <c r="D85" s="774">
        <f t="shared" si="6"/>
        <v>18.652680405443881</v>
      </c>
      <c r="E85" s="3495">
        <f>1.7+1.46+1.67+1.79+1.78+1.59+1.69+1.83+1.83+2.67+3.7+1.69+1.73+1.83+2.44+2.67+3.84+3.05+2.79+2.52+1.97+1.86+2.49+1.2+1.74+1.45+1.71+1.61+3.41+1.42+1.9+1.48</f>
        <v>66.510000000000019</v>
      </c>
      <c r="F85" s="3466">
        <v>812898</v>
      </c>
      <c r="G85" s="3466">
        <v>761988</v>
      </c>
      <c r="H85" s="3466">
        <v>796028</v>
      </c>
      <c r="I85" s="3466">
        <v>855716</v>
      </c>
      <c r="J85" s="3466">
        <v>857640</v>
      </c>
      <c r="K85" s="3466">
        <v>816520</v>
      </c>
      <c r="L85" s="3466">
        <v>939362</v>
      </c>
      <c r="M85" s="3466">
        <v>896372</v>
      </c>
      <c r="N85" s="3466">
        <v>916944</v>
      </c>
      <c r="O85" s="3466">
        <v>906691</v>
      </c>
      <c r="P85" s="3466">
        <v>850743</v>
      </c>
      <c r="Q85" s="3466">
        <v>855011</v>
      </c>
      <c r="R85" s="3466">
        <v>888996</v>
      </c>
      <c r="S85" s="3466">
        <v>821886</v>
      </c>
      <c r="T85" s="3466">
        <v>864455</v>
      </c>
      <c r="U85" s="3466">
        <v>856867</v>
      </c>
      <c r="V85" s="3466">
        <v>1019184</v>
      </c>
      <c r="W85" s="3466">
        <v>857291</v>
      </c>
      <c r="X85" s="3466">
        <v>894547</v>
      </c>
      <c r="Y85" s="3466">
        <v>1104458</v>
      </c>
      <c r="Z85" s="3466">
        <v>866034</v>
      </c>
      <c r="AA85" s="3466">
        <v>867864</v>
      </c>
      <c r="AB85" s="3466">
        <v>862865</v>
      </c>
      <c r="AC85" s="3466">
        <v>318801</v>
      </c>
      <c r="AD85" s="3466">
        <v>1215323</v>
      </c>
      <c r="AE85" s="3466">
        <v>903292</v>
      </c>
      <c r="AF85" s="3466">
        <v>872768</v>
      </c>
      <c r="AG85" s="3466">
        <v>869537</v>
      </c>
      <c r="AH85" s="3466">
        <v>919780</v>
      </c>
      <c r="AI85" s="3466">
        <v>779378</v>
      </c>
      <c r="AJ85" s="3466">
        <v>872237</v>
      </c>
      <c r="AK85" s="3466">
        <v>933587</v>
      </c>
    </row>
    <row r="86" spans="1:37" s="654" customFormat="1" ht="14.1" customHeight="1" x14ac:dyDescent="0.25">
      <c r="A86" s="1245" t="s">
        <v>2681</v>
      </c>
      <c r="B86" s="3568" t="s">
        <v>2682</v>
      </c>
      <c r="C86" s="2514">
        <f>SUM(F86:AM86)</f>
        <v>27951647</v>
      </c>
      <c r="D86" s="774">
        <f t="shared" si="6"/>
        <v>18.712037365027758</v>
      </c>
      <c r="E86" s="2683">
        <f>11.81+16.09+19.02+11.57+14.65+14.81+17.06+13.06+11.5+22.26+14.88+10.89+13.57+11.54+12.39+11.64+14.09+13.14+13.27+14.42+12.02+12.62+12.07+11.05+13.45+11.11+11.58+9.47+39.85+13.51+13.09+11.94</f>
        <v>453.41999999999996</v>
      </c>
      <c r="F86" s="2782">
        <v>843817</v>
      </c>
      <c r="G86" s="2782">
        <v>776299</v>
      </c>
      <c r="H86" s="2782">
        <v>829248</v>
      </c>
      <c r="I86" s="2782">
        <v>838936</v>
      </c>
      <c r="J86" s="2782">
        <v>877982</v>
      </c>
      <c r="K86" s="2782">
        <v>852092</v>
      </c>
      <c r="L86" s="2782">
        <v>912964</v>
      </c>
      <c r="M86" s="2782">
        <v>923716</v>
      </c>
      <c r="N86" s="2782">
        <v>864512</v>
      </c>
      <c r="O86" s="2782">
        <v>916014</v>
      </c>
      <c r="P86" s="2782">
        <v>860021</v>
      </c>
      <c r="Q86" s="2782">
        <v>855926</v>
      </c>
      <c r="R86" s="2782">
        <v>902576</v>
      </c>
      <c r="S86" s="2782">
        <v>843817</v>
      </c>
      <c r="T86" s="2782">
        <v>890682</v>
      </c>
      <c r="U86" s="2782">
        <v>859564</v>
      </c>
      <c r="V86" s="2782">
        <v>954688</v>
      </c>
      <c r="W86" s="2782">
        <v>871422</v>
      </c>
      <c r="X86" s="2782">
        <v>910154</v>
      </c>
      <c r="Y86" s="2782">
        <v>1035509</v>
      </c>
      <c r="Z86" s="2782">
        <v>874790</v>
      </c>
      <c r="AA86" s="2782">
        <v>887784</v>
      </c>
      <c r="AB86" s="2782">
        <v>892108</v>
      </c>
      <c r="AC86" s="2782">
        <v>298452</v>
      </c>
      <c r="AD86" s="2782">
        <v>1137001</v>
      </c>
      <c r="AE86" s="2782">
        <v>916580</v>
      </c>
      <c r="AF86" s="2782">
        <v>880764</v>
      </c>
      <c r="AG86" s="2782">
        <v>843980</v>
      </c>
      <c r="AH86" s="2782">
        <v>928712</v>
      </c>
      <c r="AI86" s="2782">
        <v>804673</v>
      </c>
      <c r="AJ86" s="2782">
        <v>902274</v>
      </c>
      <c r="AK86" s="2782">
        <v>964590</v>
      </c>
    </row>
    <row r="87" spans="1:37" s="654" customFormat="1" ht="14.1" customHeight="1" x14ac:dyDescent="0.25">
      <c r="A87" s="3488" t="s">
        <v>2694</v>
      </c>
      <c r="B87" s="3506" t="s">
        <v>884</v>
      </c>
      <c r="C87" s="2781">
        <f>SUM(F87:AM87)</f>
        <v>28042125</v>
      </c>
      <c r="D87" s="774">
        <f t="shared" ref="D87:D97" si="9">((F87*100/4457012)+(G87*100/4666092)+(H87*100/4564694)+(I87*100/3934071)+(J87*100/4887915)+(K87*100/4213444)+(L87*100/3969347)+(M87*100/4648398)+(N87*100/4423667)+(O87*100/4183633)+(P87*100/4598571)+(Q87*100/4650256)+(R87*100/4428442)+(S87*100/3615242)+(T87*100/5768156)+(U87*100/4495508)+(V87*100/4650166)+(W87*100/4800546)+(X87*100/5054225)+(Y87*100/4265815)+(Z87*100/4769289)+(AA87*100/4139514)+(AB87*100/4248764)+(AC87*100/4567817)+(AD87*100/6356919)+(AE87*100/4414836)+(AF87*100/5105832)+(AG87*100/5712519)+(AH87*100/11302195)+(AJ87*100/5427923)+(AK87*100/4134752))/31</f>
        <v>18.721960708610158</v>
      </c>
      <c r="E87" s="3496"/>
      <c r="F87" s="3466">
        <v>804762</v>
      </c>
      <c r="G87" s="3466">
        <v>763126</v>
      </c>
      <c r="H87" s="3466">
        <v>797160</v>
      </c>
      <c r="I87" s="3466">
        <v>856228</v>
      </c>
      <c r="J87" s="3466">
        <v>862074</v>
      </c>
      <c r="K87" s="3466">
        <v>807616</v>
      </c>
      <c r="L87" s="3466">
        <v>934484</v>
      </c>
      <c r="M87" s="3466">
        <v>903608</v>
      </c>
      <c r="N87" s="3466">
        <v>921681</v>
      </c>
      <c r="O87" s="3466">
        <v>907916</v>
      </c>
      <c r="P87" s="3466">
        <v>850068</v>
      </c>
      <c r="Q87" s="3466">
        <v>855953</v>
      </c>
      <c r="R87" s="3466">
        <v>889867</v>
      </c>
      <c r="S87" s="3466">
        <v>815808</v>
      </c>
      <c r="T87" s="3466">
        <v>864674</v>
      </c>
      <c r="U87" s="3466">
        <v>859986</v>
      </c>
      <c r="V87" s="3466">
        <v>1031088</v>
      </c>
      <c r="W87" s="3466">
        <v>856354</v>
      </c>
      <c r="X87" s="3466">
        <v>890129</v>
      </c>
      <c r="Y87" s="3466">
        <v>1105304</v>
      </c>
      <c r="Z87" s="3466">
        <v>864108</v>
      </c>
      <c r="AA87" s="3466">
        <v>872506</v>
      </c>
      <c r="AB87" s="3466">
        <v>858183</v>
      </c>
      <c r="AC87" s="3466">
        <v>338942</v>
      </c>
      <c r="AD87" s="3466">
        <v>1224731</v>
      </c>
      <c r="AE87" s="3466">
        <v>904168</v>
      </c>
      <c r="AF87" s="3466">
        <v>874796</v>
      </c>
      <c r="AG87" s="3466">
        <v>885513</v>
      </c>
      <c r="AH87" s="3466">
        <v>1056930</v>
      </c>
      <c r="AI87" s="3466">
        <v>779011</v>
      </c>
      <c r="AJ87" s="3466">
        <v>867282</v>
      </c>
      <c r="AK87" s="3466">
        <v>938069</v>
      </c>
    </row>
    <row r="88" spans="1:37" s="654" customFormat="1" ht="14.1" customHeight="1" x14ac:dyDescent="0.25">
      <c r="A88" s="3561" t="s">
        <v>2102</v>
      </c>
      <c r="B88" s="3505"/>
      <c r="C88" s="2781">
        <f>SUM(F88:AM88)</f>
        <v>27972844</v>
      </c>
      <c r="D88" s="774">
        <f t="shared" si="9"/>
        <v>18.734431061169328</v>
      </c>
      <c r="E88" s="3479">
        <f>2.4+2.6+3.2+2.7+2.7+2.3+2.7+2.3+2.2+3.3+2.5+2.3+2.4+2.4+2.3+2.4+2.7+2.7+2.5+2.3+2.3+2.7+2.4+3.4+2.4+2.3+2.2+2+5.4+2.9+2.3+2.3</f>
        <v>83.5</v>
      </c>
      <c r="F88" s="2782">
        <v>815698</v>
      </c>
      <c r="G88" s="2782">
        <v>771920</v>
      </c>
      <c r="H88" s="2782">
        <v>786690</v>
      </c>
      <c r="I88" s="2782">
        <v>861108</v>
      </c>
      <c r="J88" s="2782">
        <v>863006</v>
      </c>
      <c r="K88" s="2782">
        <v>817968</v>
      </c>
      <c r="L88" s="2782">
        <v>934322</v>
      </c>
      <c r="M88" s="2782">
        <v>900904</v>
      </c>
      <c r="N88" s="2782">
        <v>926282</v>
      </c>
      <c r="O88" s="2782">
        <v>900396</v>
      </c>
      <c r="P88" s="2782">
        <v>856064</v>
      </c>
      <c r="Q88" s="2782">
        <v>861052</v>
      </c>
      <c r="R88" s="2782">
        <v>893304</v>
      </c>
      <c r="S88" s="2782">
        <v>824754</v>
      </c>
      <c r="T88" s="2782">
        <v>870490</v>
      </c>
      <c r="U88" s="2782">
        <v>861328</v>
      </c>
      <c r="V88" s="2782">
        <v>1026776</v>
      </c>
      <c r="W88" s="2782">
        <v>856844</v>
      </c>
      <c r="X88" s="2782">
        <v>893802</v>
      </c>
      <c r="Y88" s="2782">
        <v>1114964</v>
      </c>
      <c r="Z88" s="2782">
        <v>869356</v>
      </c>
      <c r="AA88" s="2782">
        <v>871156</v>
      </c>
      <c r="AB88" s="2782">
        <v>867480</v>
      </c>
      <c r="AC88" s="2782">
        <v>319498</v>
      </c>
      <c r="AD88" s="2782">
        <v>1232608</v>
      </c>
      <c r="AE88" s="2782">
        <v>911560</v>
      </c>
      <c r="AF88" s="2782">
        <v>875872</v>
      </c>
      <c r="AG88" s="2782">
        <v>885062</v>
      </c>
      <c r="AH88" s="2782">
        <v>895604</v>
      </c>
      <c r="AI88" s="2782">
        <v>788020</v>
      </c>
      <c r="AJ88" s="2782">
        <v>877318</v>
      </c>
      <c r="AK88" s="2782">
        <v>941638</v>
      </c>
    </row>
    <row r="89" spans="1:37" s="654" customFormat="1" ht="14.1" customHeight="1" x14ac:dyDescent="0.25">
      <c r="A89" s="3502" t="s">
        <v>2390</v>
      </c>
      <c r="B89" s="3506" t="s">
        <v>883</v>
      </c>
      <c r="C89" s="2781">
        <f>SUM(F89:AM89)</f>
        <v>27988570</v>
      </c>
      <c r="D89" s="774">
        <f t="shared" si="9"/>
        <v>18.745890304552038</v>
      </c>
      <c r="E89" s="3496"/>
      <c r="F89" s="3466">
        <v>804732</v>
      </c>
      <c r="G89" s="3466">
        <v>777848</v>
      </c>
      <c r="H89" s="3466">
        <v>802467</v>
      </c>
      <c r="I89" s="3466">
        <v>860619</v>
      </c>
      <c r="J89" s="3466">
        <v>855335</v>
      </c>
      <c r="K89" s="3466">
        <v>829657</v>
      </c>
      <c r="L89" s="3466">
        <v>977827</v>
      </c>
      <c r="M89" s="3466">
        <v>896512</v>
      </c>
      <c r="N89" s="3466">
        <v>944522</v>
      </c>
      <c r="O89" s="3466">
        <v>927401</v>
      </c>
      <c r="P89" s="3466">
        <v>840913</v>
      </c>
      <c r="Q89" s="3466">
        <v>838020</v>
      </c>
      <c r="R89" s="3466">
        <v>882592</v>
      </c>
      <c r="S89" s="3466">
        <v>811950</v>
      </c>
      <c r="T89" s="3466">
        <v>867826</v>
      </c>
      <c r="U89" s="3466">
        <v>843742</v>
      </c>
      <c r="V89" s="3466">
        <v>1040107</v>
      </c>
      <c r="W89" s="3466">
        <v>848498</v>
      </c>
      <c r="X89" s="3466">
        <v>888874</v>
      </c>
      <c r="Y89" s="3466">
        <v>1147461</v>
      </c>
      <c r="Z89" s="3466">
        <v>862460</v>
      </c>
      <c r="AA89" s="3466">
        <v>863129</v>
      </c>
      <c r="AB89" s="3466">
        <v>861075</v>
      </c>
      <c r="AC89" s="3466">
        <v>314887</v>
      </c>
      <c r="AD89" s="3466">
        <v>1251968</v>
      </c>
      <c r="AE89" s="3466">
        <v>898074</v>
      </c>
      <c r="AF89" s="3466">
        <v>876056</v>
      </c>
      <c r="AG89" s="3466">
        <v>854150</v>
      </c>
      <c r="AH89" s="3466">
        <v>915886</v>
      </c>
      <c r="AI89" s="3466">
        <v>784506</v>
      </c>
      <c r="AJ89" s="3466">
        <v>880985</v>
      </c>
      <c r="AK89" s="3466">
        <v>938491</v>
      </c>
    </row>
    <row r="90" spans="1:37" s="654" customFormat="1" ht="14.1" customHeight="1" x14ac:dyDescent="0.25">
      <c r="A90" s="3554" t="s">
        <v>2391</v>
      </c>
      <c r="B90" s="3505" t="s">
        <v>883</v>
      </c>
      <c r="C90" s="2781">
        <f>SUM(F90:AM90)</f>
        <v>27988750</v>
      </c>
      <c r="D90" s="774">
        <f t="shared" si="9"/>
        <v>18.746026420431718</v>
      </c>
      <c r="E90" s="3479"/>
      <c r="F90" s="2782">
        <v>804732</v>
      </c>
      <c r="G90" s="2782">
        <v>777848</v>
      </c>
      <c r="H90" s="2782">
        <v>802467</v>
      </c>
      <c r="I90" s="2782">
        <v>860619</v>
      </c>
      <c r="J90" s="2782">
        <v>855335</v>
      </c>
      <c r="K90" s="2782">
        <v>829657</v>
      </c>
      <c r="L90" s="2782">
        <v>977827</v>
      </c>
      <c r="M90" s="2782">
        <v>896512</v>
      </c>
      <c r="N90" s="2782">
        <v>944522</v>
      </c>
      <c r="O90" s="2782">
        <v>927401</v>
      </c>
      <c r="P90" s="2782">
        <v>840913</v>
      </c>
      <c r="Q90" s="2782">
        <v>838020</v>
      </c>
      <c r="R90" s="2782">
        <v>882592</v>
      </c>
      <c r="S90" s="2782">
        <v>811950</v>
      </c>
      <c r="T90" s="2782">
        <v>867826</v>
      </c>
      <c r="U90" s="2782">
        <v>843742</v>
      </c>
      <c r="V90" s="2782">
        <v>1040107</v>
      </c>
      <c r="W90" s="2782">
        <v>848498</v>
      </c>
      <c r="X90" s="2782">
        <v>888874</v>
      </c>
      <c r="Y90" s="2782">
        <v>1147641</v>
      </c>
      <c r="Z90" s="2782">
        <v>862460</v>
      </c>
      <c r="AA90" s="2782">
        <v>863129</v>
      </c>
      <c r="AB90" s="2782">
        <v>861075</v>
      </c>
      <c r="AC90" s="2782">
        <v>314887</v>
      </c>
      <c r="AD90" s="2782">
        <v>1251968</v>
      </c>
      <c r="AE90" s="2782">
        <v>898074</v>
      </c>
      <c r="AF90" s="2782">
        <v>876056</v>
      </c>
      <c r="AG90" s="2782">
        <v>854150</v>
      </c>
      <c r="AH90" s="2782">
        <v>915886</v>
      </c>
      <c r="AI90" s="2782">
        <v>784506</v>
      </c>
      <c r="AJ90" s="2782">
        <v>880985</v>
      </c>
      <c r="AK90" s="2782">
        <v>938491</v>
      </c>
    </row>
    <row r="91" spans="1:37" s="654" customFormat="1" ht="14.1" customHeight="1" x14ac:dyDescent="0.25">
      <c r="A91" s="3560" t="s">
        <v>2720</v>
      </c>
      <c r="B91" s="3506" t="s">
        <v>2726</v>
      </c>
      <c r="C91" s="2781"/>
      <c r="D91" s="774">
        <f t="shared" si="9"/>
        <v>18.759060506703445</v>
      </c>
      <c r="E91" s="3496">
        <f>0.53+0.58+0.64+1.5+1.35+0.68+0.81+0.93+1.47+1.16+0.86+0.7+1.03+2.56+0.58+0.54+0.75+1.04+0.62+0.75+0.62+1.53+1.17+1.14+0.93+1.17+1.35+0.68+2.25+0.79+0.79+0.7</f>
        <v>32.200000000000003</v>
      </c>
      <c r="F91" s="3466">
        <v>815846</v>
      </c>
      <c r="G91" s="3466">
        <v>768030</v>
      </c>
      <c r="H91" s="3466">
        <v>788821</v>
      </c>
      <c r="I91" s="3466">
        <v>860035</v>
      </c>
      <c r="J91" s="3466">
        <v>858157</v>
      </c>
      <c r="K91" s="3466">
        <v>820380</v>
      </c>
      <c r="L91" s="3466">
        <v>946628</v>
      </c>
      <c r="M91" s="3466">
        <v>904129</v>
      </c>
      <c r="N91" s="3466">
        <v>932568</v>
      </c>
      <c r="O91" s="3466">
        <v>896589</v>
      </c>
      <c r="P91" s="3466">
        <v>854371</v>
      </c>
      <c r="Q91" s="3466">
        <v>858552</v>
      </c>
      <c r="R91" s="3466">
        <v>894242</v>
      </c>
      <c r="S91" s="3466">
        <v>825519</v>
      </c>
      <c r="T91" s="3466">
        <v>868578</v>
      </c>
      <c r="U91" s="3466">
        <v>859185</v>
      </c>
      <c r="V91" s="3466">
        <v>1031649</v>
      </c>
      <c r="W91" s="3466">
        <v>860730</v>
      </c>
      <c r="X91" s="3466">
        <v>899123</v>
      </c>
      <c r="Y91" s="3466">
        <v>1122601</v>
      </c>
      <c r="Z91" s="3466">
        <v>871222</v>
      </c>
      <c r="AA91" s="3466">
        <v>872964</v>
      </c>
      <c r="AB91" s="3466">
        <v>868730</v>
      </c>
      <c r="AC91" s="3466">
        <v>323932</v>
      </c>
      <c r="AD91" s="3466">
        <v>1234313</v>
      </c>
      <c r="AE91" s="3466">
        <v>909131</v>
      </c>
      <c r="AF91" s="3466">
        <v>879455</v>
      </c>
      <c r="AG91" s="3466">
        <v>875656</v>
      </c>
      <c r="AH91" s="3466">
        <v>895649</v>
      </c>
      <c r="AI91" s="3466">
        <v>784453</v>
      </c>
      <c r="AJ91" s="3466">
        <v>878745</v>
      </c>
      <c r="AK91" s="3466">
        <v>940865</v>
      </c>
    </row>
    <row r="92" spans="1:37" s="654" customFormat="1" ht="14.1" customHeight="1" x14ac:dyDescent="0.25">
      <c r="A92" s="4679" t="s">
        <v>2699</v>
      </c>
      <c r="B92" s="4680" t="s">
        <v>898</v>
      </c>
      <c r="C92" s="2514"/>
      <c r="D92" s="774">
        <f t="shared" si="9"/>
        <v>18.799601762886709</v>
      </c>
      <c r="E92" s="4678">
        <f>150.73+170.41+223.02+149.1+185.28+177.1+198.43+167.49+132.64+217.46+159.27+141.05+170+157.58+163.06+147.18+164.46+172.43+163.35+154.28+152.94+159.01+158.23+91.59+ 140.54+138.81+141.04+132.36+326.11+167.97+168.09+163.01</f>
        <v>5304.0199999999995</v>
      </c>
      <c r="F92" s="2782">
        <v>824208</v>
      </c>
      <c r="G92" s="2782">
        <v>764641</v>
      </c>
      <c r="H92" s="2782">
        <v>842533</v>
      </c>
      <c r="I92" s="2782">
        <v>848165</v>
      </c>
      <c r="J92" s="2782">
        <v>883139</v>
      </c>
      <c r="K92" s="2782">
        <v>857279</v>
      </c>
      <c r="L92" s="2782">
        <v>927403</v>
      </c>
      <c r="M92" s="2782">
        <v>927829</v>
      </c>
      <c r="N92" s="2782">
        <v>872736</v>
      </c>
      <c r="O92" s="2782">
        <v>924799</v>
      </c>
      <c r="P92" s="2782">
        <v>863137</v>
      </c>
      <c r="Q92" s="2782">
        <v>852757</v>
      </c>
      <c r="R92" s="2782">
        <v>905537</v>
      </c>
      <c r="S92" s="2782">
        <v>841250</v>
      </c>
      <c r="T92" s="2782">
        <v>893094</v>
      </c>
      <c r="U92" s="2782">
        <v>854542</v>
      </c>
      <c r="V92" s="2782">
        <v>962341</v>
      </c>
      <c r="W92" s="2782">
        <v>866956</v>
      </c>
      <c r="X92" s="2782">
        <v>912952</v>
      </c>
      <c r="Y92" s="2782">
        <v>1047465</v>
      </c>
      <c r="Z92" s="2782">
        <v>876922</v>
      </c>
      <c r="AA92" s="2782">
        <v>891337</v>
      </c>
      <c r="AB92" s="2782">
        <v>888721</v>
      </c>
      <c r="AC92" s="2782">
        <v>323357</v>
      </c>
      <c r="AD92" s="2782">
        <v>1144833</v>
      </c>
      <c r="AE92" s="2782">
        <v>920703</v>
      </c>
      <c r="AF92" s="2782">
        <v>882290</v>
      </c>
      <c r="AG92" s="2782">
        <v>842874</v>
      </c>
      <c r="AH92" s="2782">
        <v>986388</v>
      </c>
      <c r="AI92" s="2782">
        <v>807609</v>
      </c>
      <c r="AJ92" s="2782">
        <v>905323</v>
      </c>
      <c r="AK92" s="2782">
        <v>967878</v>
      </c>
    </row>
    <row r="93" spans="1:37" s="654" customFormat="1" ht="14.1" customHeight="1" x14ac:dyDescent="0.25">
      <c r="A93" s="3488" t="s">
        <v>2696</v>
      </c>
      <c r="B93" s="3506" t="s">
        <v>886</v>
      </c>
      <c r="C93" s="2781">
        <f>SUM(F93:AM93)</f>
        <v>28332495</v>
      </c>
      <c r="D93" s="774">
        <f t="shared" si="9"/>
        <v>18.804222762049669</v>
      </c>
      <c r="E93" s="3496"/>
      <c r="F93" s="3466">
        <v>759194</v>
      </c>
      <c r="G93" s="3466">
        <v>832449</v>
      </c>
      <c r="H93" s="3466">
        <v>928001</v>
      </c>
      <c r="I93" s="3466">
        <v>875574</v>
      </c>
      <c r="J93" s="3466">
        <v>926800</v>
      </c>
      <c r="K93" s="3466">
        <v>825493</v>
      </c>
      <c r="L93" s="3466">
        <v>860987</v>
      </c>
      <c r="M93" s="3466">
        <v>949576</v>
      </c>
      <c r="N93" s="3466">
        <v>860276</v>
      </c>
      <c r="O93" s="3466">
        <v>1089935</v>
      </c>
      <c r="P93" s="3466">
        <v>804484</v>
      </c>
      <c r="Q93" s="3466">
        <v>843070</v>
      </c>
      <c r="R93" s="3466">
        <v>839825</v>
      </c>
      <c r="S93" s="3466">
        <v>749541</v>
      </c>
      <c r="T93" s="3466">
        <v>847971</v>
      </c>
      <c r="U93" s="3466">
        <v>854681</v>
      </c>
      <c r="V93" s="3466">
        <v>975689</v>
      </c>
      <c r="W93" s="3466">
        <v>873223</v>
      </c>
      <c r="X93" s="3466">
        <v>920029</v>
      </c>
      <c r="Y93" s="3466">
        <v>986914</v>
      </c>
      <c r="Z93" s="3466">
        <v>880871</v>
      </c>
      <c r="AA93" s="3466">
        <v>904706</v>
      </c>
      <c r="AB93" s="3466">
        <v>878112</v>
      </c>
      <c r="AC93" s="3466">
        <v>369713</v>
      </c>
      <c r="AD93" s="3466">
        <v>1146419</v>
      </c>
      <c r="AE93" s="3466">
        <v>909446</v>
      </c>
      <c r="AF93" s="3466">
        <v>844382</v>
      </c>
      <c r="AG93" s="3466">
        <v>808685</v>
      </c>
      <c r="AH93" s="3466">
        <v>1342769</v>
      </c>
      <c r="AI93" s="3466">
        <v>797874</v>
      </c>
      <c r="AJ93" s="3466">
        <v>899167</v>
      </c>
      <c r="AK93" s="3466">
        <v>946639</v>
      </c>
    </row>
    <row r="94" spans="1:37" s="654" customFormat="1" ht="14.1" customHeight="1" x14ac:dyDescent="0.25">
      <c r="A94" s="3559" t="s">
        <v>2695</v>
      </c>
      <c r="B94" s="3505" t="s">
        <v>885</v>
      </c>
      <c r="C94" s="2781">
        <f>SUM(F94:AM94)</f>
        <v>28242217</v>
      </c>
      <c r="D94" s="774">
        <f t="shared" si="9"/>
        <v>18.898708903352262</v>
      </c>
      <c r="E94" s="3479"/>
      <c r="F94" s="2782">
        <v>820258</v>
      </c>
      <c r="G94" s="2782">
        <v>773851</v>
      </c>
      <c r="H94" s="2782">
        <v>798157</v>
      </c>
      <c r="I94" s="2782">
        <v>866081</v>
      </c>
      <c r="J94" s="2782">
        <v>872469</v>
      </c>
      <c r="K94" s="2782">
        <v>822431</v>
      </c>
      <c r="L94" s="2782">
        <v>951733</v>
      </c>
      <c r="M94" s="2782">
        <v>911312</v>
      </c>
      <c r="N94" s="2782">
        <v>939038</v>
      </c>
      <c r="O94" s="2782">
        <v>908866</v>
      </c>
      <c r="P94" s="2782">
        <v>859945</v>
      </c>
      <c r="Q94" s="2782">
        <v>860408</v>
      </c>
      <c r="R94" s="2782">
        <v>892834</v>
      </c>
      <c r="S94" s="2782">
        <v>817556</v>
      </c>
      <c r="T94" s="2782">
        <v>873851</v>
      </c>
      <c r="U94" s="2782">
        <v>861372</v>
      </c>
      <c r="V94" s="2782">
        <v>1036973</v>
      </c>
      <c r="W94" s="2782">
        <v>867284</v>
      </c>
      <c r="X94" s="2782">
        <v>906302</v>
      </c>
      <c r="Y94" s="2782">
        <v>1128369</v>
      </c>
      <c r="Z94" s="2782">
        <v>876246</v>
      </c>
      <c r="AA94" s="2782">
        <v>880206</v>
      </c>
      <c r="AB94" s="2782">
        <v>875686</v>
      </c>
      <c r="AC94" s="2782">
        <v>346689</v>
      </c>
      <c r="AD94" s="2782">
        <v>1238742</v>
      </c>
      <c r="AE94" s="2782">
        <v>913985</v>
      </c>
      <c r="AF94" s="2782">
        <v>890711</v>
      </c>
      <c r="AG94" s="2782">
        <v>877496</v>
      </c>
      <c r="AH94" s="2782">
        <v>948227</v>
      </c>
      <c r="AI94" s="2782">
        <v>792835</v>
      </c>
      <c r="AJ94" s="2782">
        <v>885910</v>
      </c>
      <c r="AK94" s="2782">
        <v>946394</v>
      </c>
    </row>
    <row r="95" spans="1:37" s="654" customFormat="1" ht="14.1" customHeight="1" x14ac:dyDescent="0.25">
      <c r="A95" s="3563" t="s">
        <v>2392</v>
      </c>
      <c r="B95" s="3567" t="s">
        <v>889</v>
      </c>
      <c r="C95" s="3570">
        <f>SUM(F95:AM95)</f>
        <v>28575726</v>
      </c>
      <c r="D95" s="774">
        <f t="shared" si="9"/>
        <v>19.017751523106586</v>
      </c>
      <c r="E95" s="3477"/>
      <c r="F95" s="775">
        <v>812388</v>
      </c>
      <c r="G95" s="775">
        <v>778288</v>
      </c>
      <c r="H95" s="775">
        <v>784608</v>
      </c>
      <c r="I95" s="775">
        <v>852470</v>
      </c>
      <c r="J95" s="775">
        <v>862559</v>
      </c>
      <c r="K95" s="775">
        <v>846138</v>
      </c>
      <c r="L95" s="775">
        <v>974189</v>
      </c>
      <c r="M95" s="775">
        <v>921780</v>
      </c>
      <c r="N95" s="775">
        <v>948932</v>
      </c>
      <c r="O95" s="775">
        <v>918304</v>
      </c>
      <c r="P95" s="775">
        <v>836253</v>
      </c>
      <c r="Q95" s="775">
        <v>878682</v>
      </c>
      <c r="R95" s="775">
        <v>918722</v>
      </c>
      <c r="S95" s="775">
        <v>833302</v>
      </c>
      <c r="T95" s="775">
        <v>890873</v>
      </c>
      <c r="U95" s="775">
        <v>854163</v>
      </c>
      <c r="V95" s="775">
        <v>1076570</v>
      </c>
      <c r="W95" s="775">
        <v>874938</v>
      </c>
      <c r="X95" s="775">
        <v>878384</v>
      </c>
      <c r="Y95" s="775">
        <v>1142320</v>
      </c>
      <c r="Z95" s="775">
        <v>885762</v>
      </c>
      <c r="AA95" s="775">
        <v>888496</v>
      </c>
      <c r="AB95" s="775">
        <v>854384</v>
      </c>
      <c r="AC95" s="775">
        <v>315974</v>
      </c>
      <c r="AD95" s="775">
        <v>1252624</v>
      </c>
      <c r="AE95" s="775">
        <v>888682</v>
      </c>
      <c r="AF95" s="775">
        <v>874024</v>
      </c>
      <c r="AG95" s="775">
        <v>865610</v>
      </c>
      <c r="AH95" s="775">
        <v>1246985</v>
      </c>
      <c r="AI95" s="775">
        <v>781254</v>
      </c>
      <c r="AJ95" s="775">
        <v>907234</v>
      </c>
      <c r="AK95" s="775">
        <v>930834</v>
      </c>
    </row>
    <row r="96" spans="1:37" s="654" customFormat="1" ht="14.1" customHeight="1" x14ac:dyDescent="0.25">
      <c r="A96" s="1263" t="s">
        <v>887</v>
      </c>
      <c r="B96" s="1900" t="s">
        <v>888</v>
      </c>
      <c r="C96" s="1901">
        <f>SUM(F96:AM96)</f>
        <v>28394445</v>
      </c>
      <c r="D96" s="774">
        <f t="shared" si="9"/>
        <v>19.023884472672442</v>
      </c>
      <c r="E96" s="3146"/>
      <c r="F96" s="1921">
        <v>818018</v>
      </c>
      <c r="G96" s="1921">
        <v>786928</v>
      </c>
      <c r="H96" s="1921">
        <v>790739</v>
      </c>
      <c r="I96" s="1921">
        <v>877675</v>
      </c>
      <c r="J96" s="1921">
        <v>871563</v>
      </c>
      <c r="K96" s="1921">
        <v>838815</v>
      </c>
      <c r="L96" s="1921">
        <v>1000160</v>
      </c>
      <c r="M96" s="1921">
        <v>909752</v>
      </c>
      <c r="N96" s="1921">
        <v>970945</v>
      </c>
      <c r="O96" s="1921">
        <v>938344</v>
      </c>
      <c r="P96" s="1921">
        <v>850145</v>
      </c>
      <c r="Q96" s="1921">
        <v>855102</v>
      </c>
      <c r="R96" s="1921">
        <v>897101</v>
      </c>
      <c r="S96" s="1921">
        <v>801531</v>
      </c>
      <c r="T96" s="1921">
        <v>883323</v>
      </c>
      <c r="U96" s="1921">
        <v>853547</v>
      </c>
      <c r="V96" s="1921">
        <v>1069196</v>
      </c>
      <c r="W96" s="1921">
        <v>862201</v>
      </c>
      <c r="X96" s="1921">
        <v>905748</v>
      </c>
      <c r="Y96" s="1921">
        <v>1183129</v>
      </c>
      <c r="Z96" s="1921">
        <v>870546</v>
      </c>
      <c r="AA96" s="1921">
        <v>876623</v>
      </c>
      <c r="AB96" s="1921">
        <v>871427</v>
      </c>
      <c r="AC96" s="1921">
        <v>320800</v>
      </c>
      <c r="AD96" s="1921">
        <v>1287993</v>
      </c>
      <c r="AE96" s="1921">
        <v>910202</v>
      </c>
      <c r="AF96" s="1921">
        <v>880722</v>
      </c>
      <c r="AG96" s="1921">
        <v>854367</v>
      </c>
      <c r="AH96" s="1921">
        <v>918930</v>
      </c>
      <c r="AI96" s="1921">
        <v>788128</v>
      </c>
      <c r="AJ96" s="1921">
        <v>893285</v>
      </c>
      <c r="AK96" s="1921">
        <v>957460</v>
      </c>
    </row>
    <row r="97" spans="1:37" s="654" customFormat="1" ht="14.1" customHeight="1" x14ac:dyDescent="0.25">
      <c r="A97" s="3519" t="s">
        <v>2721</v>
      </c>
      <c r="B97" s="1915" t="s">
        <v>2722</v>
      </c>
      <c r="C97" s="1916"/>
      <c r="D97" s="774">
        <f t="shared" si="9"/>
        <v>19.04782820441007</v>
      </c>
      <c r="E97" s="3477">
        <f>3.23+3.78+4.19+2.98+3.64+3.32+3.79+5.14+2.85+4.34+2.93+2.55+3.15+2.86+3.12+2.79+3.33+3.12+3.12+3.43+2.82+3.09+2.91+2.43+3.24+2.9+2.67+2.52+7.97+3.15+3.17+3.05</f>
        <v>107.58</v>
      </c>
      <c r="F97" s="1922">
        <v>826131</v>
      </c>
      <c r="G97" s="1922">
        <v>782063</v>
      </c>
      <c r="H97" s="1922">
        <v>808749</v>
      </c>
      <c r="I97" s="1922">
        <v>871792</v>
      </c>
      <c r="J97" s="1922">
        <v>886514</v>
      </c>
      <c r="K97" s="1922">
        <v>827055</v>
      </c>
      <c r="L97" s="1922">
        <v>949172</v>
      </c>
      <c r="M97" s="1922">
        <v>915774</v>
      </c>
      <c r="N97" s="1922">
        <v>932039</v>
      </c>
      <c r="O97" s="1922">
        <v>924479</v>
      </c>
      <c r="P97" s="1922">
        <v>869475</v>
      </c>
      <c r="Q97" s="1922">
        <v>872000</v>
      </c>
      <c r="R97" s="1922">
        <v>907037</v>
      </c>
      <c r="S97" s="1922">
        <v>840717</v>
      </c>
      <c r="T97" s="1922">
        <v>883585</v>
      </c>
      <c r="U97" s="1922">
        <v>871283</v>
      </c>
      <c r="V97" s="1922">
        <v>1035520</v>
      </c>
      <c r="W97" s="1922">
        <v>878103</v>
      </c>
      <c r="X97" s="1922">
        <v>913002</v>
      </c>
      <c r="Y97" s="1922">
        <v>1115598</v>
      </c>
      <c r="Z97" s="1922">
        <v>882496</v>
      </c>
      <c r="AA97" s="1922">
        <v>889474</v>
      </c>
      <c r="AB97" s="1922">
        <v>881130</v>
      </c>
      <c r="AC97" s="1922">
        <v>354907</v>
      </c>
      <c r="AD97" s="1922">
        <v>1226285</v>
      </c>
      <c r="AE97" s="1922">
        <v>924792</v>
      </c>
      <c r="AF97" s="1922">
        <v>887191</v>
      </c>
      <c r="AG97" s="1922">
        <v>896259</v>
      </c>
      <c r="AH97" s="1922">
        <v>973925</v>
      </c>
      <c r="AI97" s="1922">
        <v>806769</v>
      </c>
      <c r="AJ97" s="1922">
        <v>890030</v>
      </c>
      <c r="AK97" s="1922">
        <v>954051</v>
      </c>
    </row>
    <row r="98" spans="1:37" s="654" customFormat="1" ht="14.1" customHeight="1" x14ac:dyDescent="0.25">
      <c r="A98" s="3562" t="s">
        <v>2395</v>
      </c>
      <c r="B98" s="3566" t="s">
        <v>890</v>
      </c>
      <c r="C98" s="3500">
        <f t="shared" ref="C98:C108" si="10">SUM(F98:AM98)</f>
        <v>28677962</v>
      </c>
      <c r="D98" s="774">
        <f t="shared" ref="D98:D129" si="11">((F98*100/4457012)+(G98*100/4666092)+(H98*100/4564694)+(I98*100/3934071)+(J98*100/4887915)+(K98*100/4213444)+(L98*100/3969347)+(M98*100/4648398)+(N98*100/4423667)+(O98*100/4183633)+(P98*100/4598571)+(Q98*100/4650256)+(R98*100/4428442)+(S98*100/3615242)+(T98*100/5768156)+(U98*100/4495508)+(V98*100/4650166)+(W98*100/4800546)+(X98*100/5054225)+(Y98*100/4265815)+(Z98*100/4769289)+(AA98*100/4139514)+(AB98*100/4248764)+(AC98*100/4567817)+(AD98*100/6356919)+(AE98*100/4414836)+(AF98*100/5105832)+(AG98*100/5712519)+(AH98*100/11302195)+(AJ98*100/5427923)+(AK98*100/4134752))/31</f>
        <v>19.124946544884136</v>
      </c>
      <c r="E98" s="3571"/>
      <c r="F98" s="2782">
        <v>815253</v>
      </c>
      <c r="G98" s="2782">
        <v>794052</v>
      </c>
      <c r="H98" s="2782">
        <v>822464</v>
      </c>
      <c r="I98" s="2782">
        <v>1021935</v>
      </c>
      <c r="J98" s="2782">
        <v>862415</v>
      </c>
      <c r="K98" s="2782">
        <v>832089</v>
      </c>
      <c r="L98" s="2782">
        <v>974086</v>
      </c>
      <c r="M98" s="2782">
        <v>901774</v>
      </c>
      <c r="N98" s="2782">
        <v>948769</v>
      </c>
      <c r="O98" s="2782">
        <v>963723</v>
      </c>
      <c r="P98" s="2782">
        <v>849768</v>
      </c>
      <c r="Q98" s="2782">
        <v>852352</v>
      </c>
      <c r="R98" s="2782">
        <v>888261</v>
      </c>
      <c r="S98" s="2782">
        <v>814731</v>
      </c>
      <c r="T98" s="2782">
        <v>867950</v>
      </c>
      <c r="U98" s="2782">
        <v>854367</v>
      </c>
      <c r="V98" s="2782">
        <v>1054008</v>
      </c>
      <c r="W98" s="2782">
        <v>856172</v>
      </c>
      <c r="X98" s="2782">
        <v>891080</v>
      </c>
      <c r="Y98" s="2782">
        <v>1146186</v>
      </c>
      <c r="Z98" s="2782">
        <v>862177</v>
      </c>
      <c r="AA98" s="2782">
        <v>869095</v>
      </c>
      <c r="AB98" s="2782">
        <v>856403</v>
      </c>
      <c r="AC98" s="2782">
        <v>384548</v>
      </c>
      <c r="AD98" s="2782">
        <v>1253341</v>
      </c>
      <c r="AE98" s="2782">
        <v>897697</v>
      </c>
      <c r="AF98" s="2782">
        <v>873856</v>
      </c>
      <c r="AG98" s="2782">
        <v>841206</v>
      </c>
      <c r="AH98" s="2782">
        <v>1250682</v>
      </c>
      <c r="AI98" s="2782">
        <v>768184</v>
      </c>
      <c r="AJ98" s="2782">
        <v>878779</v>
      </c>
      <c r="AK98" s="2782">
        <v>930559</v>
      </c>
    </row>
    <row r="99" spans="1:37" s="654" customFormat="1" ht="14.1" customHeight="1" x14ac:dyDescent="0.25">
      <c r="A99" s="3553" t="s">
        <v>119</v>
      </c>
      <c r="B99" s="3525" t="s">
        <v>891</v>
      </c>
      <c r="C99" s="3500">
        <f t="shared" si="10"/>
        <v>28737632</v>
      </c>
      <c r="D99" s="774">
        <f t="shared" si="11"/>
        <v>19.241155201729661</v>
      </c>
      <c r="E99" s="3526"/>
      <c r="F99" s="3527">
        <v>832800</v>
      </c>
      <c r="G99" s="3527">
        <v>786688</v>
      </c>
      <c r="H99" s="3527">
        <v>818864</v>
      </c>
      <c r="I99" s="3527">
        <v>884144</v>
      </c>
      <c r="J99" s="3527">
        <v>886112</v>
      </c>
      <c r="K99" s="3527">
        <v>848016</v>
      </c>
      <c r="L99" s="3527">
        <v>952048</v>
      </c>
      <c r="M99" s="3527">
        <v>932368</v>
      </c>
      <c r="N99" s="3527">
        <v>932960</v>
      </c>
      <c r="O99" s="3527">
        <v>935344</v>
      </c>
      <c r="P99" s="3527">
        <v>882160</v>
      </c>
      <c r="Q99" s="3527">
        <v>880224</v>
      </c>
      <c r="R99" s="3527">
        <v>920272</v>
      </c>
      <c r="S99" s="3527">
        <v>849952</v>
      </c>
      <c r="T99" s="3527">
        <v>898640</v>
      </c>
      <c r="U99" s="3527">
        <v>879376</v>
      </c>
      <c r="V99" s="3527">
        <v>1049264</v>
      </c>
      <c r="W99" s="3527">
        <v>889680</v>
      </c>
      <c r="X99" s="3527">
        <v>928208</v>
      </c>
      <c r="Y99" s="3527">
        <v>1132992</v>
      </c>
      <c r="Z99" s="3527">
        <v>896336</v>
      </c>
      <c r="AA99" s="3527">
        <v>904864</v>
      </c>
      <c r="AB99" s="3527">
        <v>897536</v>
      </c>
      <c r="AC99" s="3527">
        <v>320032</v>
      </c>
      <c r="AD99" s="3527">
        <v>1247904</v>
      </c>
      <c r="AE99" s="3527">
        <v>932128</v>
      </c>
      <c r="AF99" s="3527">
        <v>892128</v>
      </c>
      <c r="AG99" s="3527">
        <v>888096</v>
      </c>
      <c r="AH99" s="3527">
        <v>950288</v>
      </c>
      <c r="AI99" s="3527">
        <v>807264</v>
      </c>
      <c r="AJ99" s="3527">
        <v>909264</v>
      </c>
      <c r="AK99" s="3527">
        <v>971680</v>
      </c>
    </row>
    <row r="100" spans="1:37" s="654" customFormat="1" ht="14.1" customHeight="1" x14ac:dyDescent="0.25">
      <c r="A100" s="1225" t="s">
        <v>1277</v>
      </c>
      <c r="B100" s="3492" t="s">
        <v>892</v>
      </c>
      <c r="C100" s="3500">
        <f t="shared" si="10"/>
        <v>28786790</v>
      </c>
      <c r="D100" s="774">
        <f t="shared" si="11"/>
        <v>19.313096604348548</v>
      </c>
      <c r="E100" s="2635"/>
      <c r="F100" s="2782">
        <v>824341</v>
      </c>
      <c r="G100" s="2782">
        <v>822840</v>
      </c>
      <c r="H100" s="2782">
        <v>895317</v>
      </c>
      <c r="I100" s="2782">
        <v>867030</v>
      </c>
      <c r="J100" s="2782">
        <v>865096</v>
      </c>
      <c r="K100" s="2782">
        <v>848878</v>
      </c>
      <c r="L100" s="2782">
        <v>986778</v>
      </c>
      <c r="M100" s="2782">
        <v>922060</v>
      </c>
      <c r="N100" s="2782">
        <v>955979</v>
      </c>
      <c r="O100" s="2782">
        <v>1051891</v>
      </c>
      <c r="P100" s="2782">
        <v>862571</v>
      </c>
      <c r="Q100" s="2782">
        <v>865340</v>
      </c>
      <c r="R100" s="2782">
        <v>906050</v>
      </c>
      <c r="S100" s="2782">
        <v>828413</v>
      </c>
      <c r="T100" s="2782">
        <v>880609</v>
      </c>
      <c r="U100" s="2782">
        <v>857136</v>
      </c>
      <c r="V100" s="2782">
        <v>1073029</v>
      </c>
      <c r="W100" s="2782">
        <v>878292</v>
      </c>
      <c r="X100" s="2782">
        <v>907707</v>
      </c>
      <c r="Y100" s="2782">
        <v>1146251</v>
      </c>
      <c r="Z100" s="2782">
        <v>876151</v>
      </c>
      <c r="AA100" s="2782">
        <v>891966</v>
      </c>
      <c r="AB100" s="2782">
        <v>862862</v>
      </c>
      <c r="AC100" s="2782">
        <v>443692</v>
      </c>
      <c r="AD100" s="2782">
        <v>1269950</v>
      </c>
      <c r="AE100" s="2782">
        <v>904993</v>
      </c>
      <c r="AF100" s="2782">
        <v>890604</v>
      </c>
      <c r="AG100" s="2782">
        <v>845367</v>
      </c>
      <c r="AH100" s="2782">
        <v>935580</v>
      </c>
      <c r="AI100" s="2782">
        <v>778874</v>
      </c>
      <c r="AJ100" s="2782">
        <v>886901</v>
      </c>
      <c r="AK100" s="2782">
        <v>954242</v>
      </c>
    </row>
    <row r="101" spans="1:37" s="654" customFormat="1" ht="14.1" customHeight="1" x14ac:dyDescent="0.25">
      <c r="A101" s="1218" t="s">
        <v>1507</v>
      </c>
      <c r="B101" s="3525" t="s">
        <v>895</v>
      </c>
      <c r="C101" s="3500">
        <f t="shared" si="10"/>
        <v>29022331</v>
      </c>
      <c r="D101" s="774">
        <f t="shared" si="11"/>
        <v>19.342546543941538</v>
      </c>
      <c r="E101" s="3526"/>
      <c r="F101" s="3527">
        <v>854792</v>
      </c>
      <c r="G101" s="3527">
        <v>781832</v>
      </c>
      <c r="H101" s="3527">
        <v>802520</v>
      </c>
      <c r="I101" s="3527">
        <v>851067</v>
      </c>
      <c r="J101" s="3527">
        <v>905876</v>
      </c>
      <c r="K101" s="3527">
        <v>861056</v>
      </c>
      <c r="L101" s="3527">
        <v>989648</v>
      </c>
      <c r="M101" s="3527">
        <v>908472</v>
      </c>
      <c r="N101" s="3527">
        <v>979380</v>
      </c>
      <c r="O101" s="3527">
        <v>918520</v>
      </c>
      <c r="P101" s="3527">
        <v>831480</v>
      </c>
      <c r="Q101" s="3527">
        <v>857100</v>
      </c>
      <c r="R101" s="3527">
        <v>923908</v>
      </c>
      <c r="S101" s="3527">
        <v>866512</v>
      </c>
      <c r="T101" s="3527">
        <v>896864</v>
      </c>
      <c r="U101" s="3527">
        <v>920668</v>
      </c>
      <c r="V101" s="3527">
        <v>1076872</v>
      </c>
      <c r="W101" s="3527">
        <v>861652</v>
      </c>
      <c r="X101" s="3527">
        <v>877616</v>
      </c>
      <c r="Y101" s="3527">
        <v>1193216</v>
      </c>
      <c r="Z101" s="3527">
        <v>876548</v>
      </c>
      <c r="AA101" s="3527">
        <v>878996</v>
      </c>
      <c r="AB101" s="3527">
        <v>909392</v>
      </c>
      <c r="AC101" s="3527">
        <v>324524</v>
      </c>
      <c r="AD101" s="3527">
        <v>1247988</v>
      </c>
      <c r="AE101" s="3527">
        <v>937920</v>
      </c>
      <c r="AF101" s="3527">
        <v>949940</v>
      </c>
      <c r="AG101" s="3527">
        <v>850940</v>
      </c>
      <c r="AH101" s="3527">
        <v>1266540</v>
      </c>
      <c r="AI101" s="3527">
        <v>783684</v>
      </c>
      <c r="AJ101" s="3527">
        <v>869948</v>
      </c>
      <c r="AK101" s="3527">
        <v>966860</v>
      </c>
    </row>
    <row r="102" spans="1:37" s="654" customFormat="1" ht="14.1" customHeight="1" x14ac:dyDescent="0.25">
      <c r="A102" s="3528" t="s">
        <v>2697</v>
      </c>
      <c r="B102" s="3492" t="s">
        <v>893</v>
      </c>
      <c r="C102" s="3500">
        <f t="shared" si="10"/>
        <v>28895695</v>
      </c>
      <c r="D102" s="774">
        <f t="shared" si="11"/>
        <v>19.347276446205019</v>
      </c>
      <c r="E102" s="2635"/>
      <c r="F102" s="2782">
        <v>828009</v>
      </c>
      <c r="G102" s="2782">
        <v>826439</v>
      </c>
      <c r="H102" s="2782">
        <v>896579</v>
      </c>
      <c r="I102" s="2782">
        <v>873011</v>
      </c>
      <c r="J102" s="2782">
        <v>897101</v>
      </c>
      <c r="K102" s="2782">
        <v>851255</v>
      </c>
      <c r="L102" s="2782">
        <v>1000000</v>
      </c>
      <c r="M102" s="2782">
        <v>925751</v>
      </c>
      <c r="N102" s="2782">
        <v>959224</v>
      </c>
      <c r="O102" s="2782">
        <v>942173</v>
      </c>
      <c r="P102" s="2782">
        <v>866317</v>
      </c>
      <c r="Q102" s="2782">
        <v>869490</v>
      </c>
      <c r="R102" s="2782">
        <v>909913</v>
      </c>
      <c r="S102" s="2782">
        <v>831840</v>
      </c>
      <c r="T102" s="2782">
        <v>884632</v>
      </c>
      <c r="U102" s="2782">
        <v>875816</v>
      </c>
      <c r="V102" s="2782">
        <v>1080498</v>
      </c>
      <c r="W102" s="2782">
        <v>882005</v>
      </c>
      <c r="X102" s="2782">
        <v>911690</v>
      </c>
      <c r="Y102" s="2782">
        <v>1154119</v>
      </c>
      <c r="Z102" s="2782">
        <v>880079</v>
      </c>
      <c r="AA102" s="2782">
        <v>895820</v>
      </c>
      <c r="AB102" s="2782">
        <v>866453</v>
      </c>
      <c r="AC102" s="2782">
        <v>445719</v>
      </c>
      <c r="AD102" s="2782">
        <v>1268916</v>
      </c>
      <c r="AE102" s="2782">
        <v>909126</v>
      </c>
      <c r="AF102" s="2782">
        <v>894956</v>
      </c>
      <c r="AG102" s="2782">
        <v>840037</v>
      </c>
      <c r="AH102" s="2782">
        <v>1015710</v>
      </c>
      <c r="AI102" s="2782">
        <v>782441</v>
      </c>
      <c r="AJ102" s="2782">
        <v>890423</v>
      </c>
      <c r="AK102" s="2782">
        <v>940153</v>
      </c>
    </row>
    <row r="103" spans="1:37" s="654" customFormat="1" ht="14.1" customHeight="1" x14ac:dyDescent="0.25">
      <c r="A103" s="3557" t="s">
        <v>894</v>
      </c>
      <c r="B103" s="3564" t="s">
        <v>868</v>
      </c>
      <c r="C103" s="3569">
        <f t="shared" si="10"/>
        <v>28930204</v>
      </c>
      <c r="D103" s="774">
        <f t="shared" si="11"/>
        <v>19.352840634437715</v>
      </c>
      <c r="E103" s="3526"/>
      <c r="F103" s="3527">
        <v>850115</v>
      </c>
      <c r="G103" s="3527">
        <v>780777</v>
      </c>
      <c r="H103" s="3527">
        <v>827348</v>
      </c>
      <c r="I103" s="3527">
        <v>880339</v>
      </c>
      <c r="J103" s="3527">
        <v>905894</v>
      </c>
      <c r="K103" s="3527">
        <v>875309</v>
      </c>
      <c r="L103" s="3527">
        <v>939288</v>
      </c>
      <c r="M103" s="3527">
        <v>961429</v>
      </c>
      <c r="N103" s="3527">
        <v>887801</v>
      </c>
      <c r="O103" s="3527">
        <v>944496</v>
      </c>
      <c r="P103" s="3527">
        <v>892027</v>
      </c>
      <c r="Q103" s="3527">
        <v>886263</v>
      </c>
      <c r="R103" s="3527">
        <v>936386</v>
      </c>
      <c r="S103" s="3527">
        <v>869243</v>
      </c>
      <c r="T103" s="3527">
        <v>921682</v>
      </c>
      <c r="U103" s="3527">
        <v>888501</v>
      </c>
      <c r="V103" s="3527">
        <v>995656</v>
      </c>
      <c r="W103" s="3527">
        <v>898135</v>
      </c>
      <c r="X103" s="3527">
        <v>944011</v>
      </c>
      <c r="Y103" s="3527">
        <v>1083344</v>
      </c>
      <c r="Z103" s="3527">
        <v>914856</v>
      </c>
      <c r="AA103" s="3527">
        <v>923141</v>
      </c>
      <c r="AB103" s="3527">
        <v>916006</v>
      </c>
      <c r="AC103" s="3527">
        <v>323848</v>
      </c>
      <c r="AD103" s="3527">
        <v>1187923</v>
      </c>
      <c r="AE103" s="3527">
        <v>954630</v>
      </c>
      <c r="AF103" s="3527">
        <v>911363</v>
      </c>
      <c r="AG103" s="3527">
        <v>865286</v>
      </c>
      <c r="AH103" s="3527">
        <v>995066</v>
      </c>
      <c r="AI103" s="3527">
        <v>831176</v>
      </c>
      <c r="AJ103" s="3527">
        <v>934943</v>
      </c>
      <c r="AK103" s="3527">
        <v>1003922</v>
      </c>
    </row>
    <row r="104" spans="1:37" s="654" customFormat="1" ht="14.1" customHeight="1" x14ac:dyDescent="0.25">
      <c r="A104" s="3512" t="s">
        <v>2393</v>
      </c>
      <c r="B104" s="3471" t="s">
        <v>896</v>
      </c>
      <c r="C104" s="776">
        <f t="shared" si="10"/>
        <v>29036300</v>
      </c>
      <c r="D104" s="774">
        <f t="shared" si="11"/>
        <v>19.354177322308107</v>
      </c>
      <c r="E104" s="3252"/>
      <c r="F104" s="775">
        <v>829469</v>
      </c>
      <c r="G104" s="775">
        <v>820629</v>
      </c>
      <c r="H104" s="775">
        <v>876388</v>
      </c>
      <c r="I104" s="775">
        <v>913076</v>
      </c>
      <c r="J104" s="775">
        <v>956554</v>
      </c>
      <c r="K104" s="775">
        <v>839894</v>
      </c>
      <c r="L104" s="775">
        <v>941189</v>
      </c>
      <c r="M104" s="775">
        <v>887295</v>
      </c>
      <c r="N104" s="775">
        <v>975421</v>
      </c>
      <c r="O104" s="775">
        <v>999899</v>
      </c>
      <c r="P104" s="775">
        <v>892087</v>
      </c>
      <c r="Q104" s="775">
        <v>839113</v>
      </c>
      <c r="R104" s="775">
        <v>910892</v>
      </c>
      <c r="S104" s="775">
        <v>792786</v>
      </c>
      <c r="T104" s="775">
        <v>898288</v>
      </c>
      <c r="U104" s="775">
        <v>863914</v>
      </c>
      <c r="V104" s="775">
        <v>1044029</v>
      </c>
      <c r="W104" s="775">
        <v>845928</v>
      </c>
      <c r="X104" s="775">
        <v>939411</v>
      </c>
      <c r="Y104" s="775">
        <v>1194949</v>
      </c>
      <c r="Z104" s="775">
        <v>922872</v>
      </c>
      <c r="AA104" s="775">
        <v>862443</v>
      </c>
      <c r="AB104" s="775">
        <v>866009</v>
      </c>
      <c r="AC104" s="775">
        <v>345036</v>
      </c>
      <c r="AD104" s="775">
        <v>1269790</v>
      </c>
      <c r="AE104" s="775">
        <v>943459</v>
      </c>
      <c r="AF104" s="775">
        <v>879177</v>
      </c>
      <c r="AG104" s="775">
        <v>924564</v>
      </c>
      <c r="AH104" s="775">
        <v>1044421</v>
      </c>
      <c r="AI104" s="775">
        <v>865632</v>
      </c>
      <c r="AJ104" s="775">
        <v>898741</v>
      </c>
      <c r="AK104" s="775">
        <v>952945</v>
      </c>
    </row>
    <row r="105" spans="1:37" s="654" customFormat="1" ht="14.1" customHeight="1" x14ac:dyDescent="0.25">
      <c r="A105" s="3469" t="s">
        <v>2393</v>
      </c>
      <c r="B105" s="3470" t="s">
        <v>2706</v>
      </c>
      <c r="C105" s="1917">
        <f t="shared" si="10"/>
        <v>29096223</v>
      </c>
      <c r="D105" s="774">
        <f t="shared" si="11"/>
        <v>19.41707156225435</v>
      </c>
      <c r="E105" s="3476"/>
      <c r="F105" s="775">
        <v>852754</v>
      </c>
      <c r="G105" s="775">
        <v>808744</v>
      </c>
      <c r="H105" s="775">
        <v>870180</v>
      </c>
      <c r="I105" s="775">
        <v>913152</v>
      </c>
      <c r="J105" s="775">
        <v>941923</v>
      </c>
      <c r="K105" s="775">
        <v>855182</v>
      </c>
      <c r="L105" s="775">
        <v>997945</v>
      </c>
      <c r="M105" s="775">
        <v>911760</v>
      </c>
      <c r="N105" s="775">
        <v>950656</v>
      </c>
      <c r="O105" s="775">
        <v>988789</v>
      </c>
      <c r="P105" s="775">
        <v>881243</v>
      </c>
      <c r="Q105" s="775">
        <v>844543</v>
      </c>
      <c r="R105" s="775">
        <v>910633</v>
      </c>
      <c r="S105" s="775">
        <v>788445</v>
      </c>
      <c r="T105" s="775">
        <v>913459</v>
      </c>
      <c r="U105" s="775">
        <v>864014</v>
      </c>
      <c r="V105" s="775">
        <v>1054723</v>
      </c>
      <c r="W105" s="775">
        <v>904228</v>
      </c>
      <c r="X105" s="775">
        <v>939523</v>
      </c>
      <c r="Y105" s="775">
        <v>1077270</v>
      </c>
      <c r="Z105" s="775">
        <v>892824</v>
      </c>
      <c r="AA105" s="775">
        <v>890235</v>
      </c>
      <c r="AB105" s="775">
        <v>907215</v>
      </c>
      <c r="AC105" s="775">
        <v>339572</v>
      </c>
      <c r="AD105" s="775">
        <v>1238983</v>
      </c>
      <c r="AE105" s="775">
        <v>970591</v>
      </c>
      <c r="AF105" s="775">
        <v>883054</v>
      </c>
      <c r="AG105" s="775">
        <v>911353</v>
      </c>
      <c r="AH105" s="775">
        <v>1036366</v>
      </c>
      <c r="AI105" s="775">
        <v>853685</v>
      </c>
      <c r="AJ105" s="775">
        <v>920739</v>
      </c>
      <c r="AK105" s="775">
        <v>982440</v>
      </c>
    </row>
    <row r="106" spans="1:37" s="654" customFormat="1" ht="14.1" customHeight="1" x14ac:dyDescent="0.25">
      <c r="A106" s="1222" t="s">
        <v>1669</v>
      </c>
      <c r="B106" s="3471" t="s">
        <v>899</v>
      </c>
      <c r="C106" s="776">
        <f t="shared" si="10"/>
        <v>29452203</v>
      </c>
      <c r="D106" s="774">
        <f t="shared" si="11"/>
        <v>19.419999592637105</v>
      </c>
      <c r="E106" s="3252"/>
      <c r="F106" s="1921">
        <v>786035</v>
      </c>
      <c r="G106" s="1921">
        <v>875710</v>
      </c>
      <c r="H106" s="1921">
        <v>1127165</v>
      </c>
      <c r="I106" s="1921">
        <v>844893</v>
      </c>
      <c r="J106" s="1921">
        <v>848277</v>
      </c>
      <c r="K106" s="1921">
        <v>812072</v>
      </c>
      <c r="L106" s="1921">
        <v>954502</v>
      </c>
      <c r="M106" s="1921">
        <v>880087</v>
      </c>
      <c r="N106" s="1921">
        <v>934554</v>
      </c>
      <c r="O106" s="1921">
        <v>916004</v>
      </c>
      <c r="P106" s="1921">
        <v>816800</v>
      </c>
      <c r="Q106" s="1921">
        <v>823055</v>
      </c>
      <c r="R106" s="1921">
        <v>854384</v>
      </c>
      <c r="S106" s="1921">
        <v>780315</v>
      </c>
      <c r="T106" s="1921">
        <v>840360</v>
      </c>
      <c r="U106" s="1921">
        <v>818729</v>
      </c>
      <c r="V106" s="1921">
        <v>1036359</v>
      </c>
      <c r="W106" s="1921">
        <v>820353</v>
      </c>
      <c r="X106" s="1921">
        <v>859798</v>
      </c>
      <c r="Y106" s="1921">
        <v>1122748</v>
      </c>
      <c r="Z106" s="1921">
        <v>839672</v>
      </c>
      <c r="AA106" s="1921">
        <v>846152</v>
      </c>
      <c r="AB106" s="1921">
        <v>840020</v>
      </c>
      <c r="AC106" s="1921">
        <v>318144</v>
      </c>
      <c r="AD106" s="1921">
        <v>1257861</v>
      </c>
      <c r="AE106" s="1921">
        <v>883003</v>
      </c>
      <c r="AF106" s="1921">
        <v>862533</v>
      </c>
      <c r="AG106" s="1921">
        <v>1873617</v>
      </c>
      <c r="AH106" s="1921">
        <v>1427234</v>
      </c>
      <c r="AI106" s="1921">
        <v>772093</v>
      </c>
      <c r="AJ106" s="1921">
        <v>857276</v>
      </c>
      <c r="AK106" s="1921">
        <v>922398</v>
      </c>
    </row>
    <row r="107" spans="1:37" s="654" customFormat="1" ht="14.1" customHeight="1" x14ac:dyDescent="0.25">
      <c r="A107" s="3469" t="s">
        <v>2698</v>
      </c>
      <c r="B107" s="3470" t="s">
        <v>898</v>
      </c>
      <c r="C107" s="1917">
        <f t="shared" si="10"/>
        <v>29251410</v>
      </c>
      <c r="D107" s="774">
        <f t="shared" si="11"/>
        <v>19.546944288578402</v>
      </c>
      <c r="E107" s="3476"/>
      <c r="F107" s="1922">
        <v>855633</v>
      </c>
      <c r="G107" s="1922">
        <v>798595</v>
      </c>
      <c r="H107" s="1922">
        <v>860620</v>
      </c>
      <c r="I107" s="1922">
        <v>868831</v>
      </c>
      <c r="J107" s="1922">
        <v>918168</v>
      </c>
      <c r="K107" s="1922">
        <v>881798</v>
      </c>
      <c r="L107" s="1922">
        <v>954953</v>
      </c>
      <c r="M107" s="1922">
        <v>963731</v>
      </c>
      <c r="N107" s="1922">
        <v>903771</v>
      </c>
      <c r="O107" s="1922">
        <v>973360</v>
      </c>
      <c r="P107" s="1922">
        <v>896889</v>
      </c>
      <c r="Q107" s="1922">
        <v>889456</v>
      </c>
      <c r="R107" s="1922">
        <v>940322</v>
      </c>
      <c r="S107" s="1922">
        <v>873588</v>
      </c>
      <c r="T107" s="1922">
        <v>927064</v>
      </c>
      <c r="U107" s="1922">
        <v>889982</v>
      </c>
      <c r="V107" s="1922">
        <v>1004734</v>
      </c>
      <c r="W107" s="1922">
        <v>903777</v>
      </c>
      <c r="X107" s="1922">
        <v>948226</v>
      </c>
      <c r="Y107" s="1922">
        <v>1092267</v>
      </c>
      <c r="Z107" s="1922">
        <v>913374</v>
      </c>
      <c r="AA107" s="1922">
        <v>924898</v>
      </c>
      <c r="AB107" s="1922">
        <v>922780</v>
      </c>
      <c r="AC107" s="1922">
        <v>337356</v>
      </c>
      <c r="AD107" s="1922">
        <v>1192570</v>
      </c>
      <c r="AE107" s="1922">
        <v>960387</v>
      </c>
      <c r="AF107" s="1922">
        <v>912952</v>
      </c>
      <c r="AG107" s="1922">
        <v>910435</v>
      </c>
      <c r="AH107" s="1922">
        <v>1034007</v>
      </c>
      <c r="AI107" s="1922">
        <v>846802</v>
      </c>
      <c r="AJ107" s="1922">
        <v>943180</v>
      </c>
      <c r="AK107" s="1922">
        <v>1006904</v>
      </c>
    </row>
    <row r="108" spans="1:37" s="654" customFormat="1" ht="14.1" customHeight="1" x14ac:dyDescent="0.25">
      <c r="A108" s="3558" t="s">
        <v>2700</v>
      </c>
      <c r="B108" s="3471" t="s">
        <v>897</v>
      </c>
      <c r="C108" s="776">
        <f t="shared" si="10"/>
        <v>29204642</v>
      </c>
      <c r="D108" s="774">
        <f t="shared" si="11"/>
        <v>19.568664293920936</v>
      </c>
      <c r="E108" s="3252"/>
      <c r="F108" s="775">
        <v>852302</v>
      </c>
      <c r="G108" s="775">
        <v>799618</v>
      </c>
      <c r="H108" s="775">
        <v>821668</v>
      </c>
      <c r="I108" s="775">
        <v>898111</v>
      </c>
      <c r="J108" s="775">
        <v>894150</v>
      </c>
      <c r="K108" s="775">
        <v>858635</v>
      </c>
      <c r="L108" s="775">
        <v>990220</v>
      </c>
      <c r="M108" s="775">
        <v>944102</v>
      </c>
      <c r="N108" s="775">
        <v>974405</v>
      </c>
      <c r="O108" s="775">
        <v>934006</v>
      </c>
      <c r="P108" s="775">
        <v>892132</v>
      </c>
      <c r="Q108" s="775">
        <v>898580</v>
      </c>
      <c r="R108" s="775">
        <v>934683</v>
      </c>
      <c r="S108" s="775">
        <v>853171</v>
      </c>
      <c r="T108" s="775">
        <v>908635</v>
      </c>
      <c r="U108" s="775">
        <v>896163</v>
      </c>
      <c r="V108" s="775">
        <v>1078447</v>
      </c>
      <c r="W108" s="775">
        <v>899942</v>
      </c>
      <c r="X108" s="775">
        <v>937517</v>
      </c>
      <c r="Y108" s="775">
        <v>1176449</v>
      </c>
      <c r="Z108" s="775">
        <v>912159</v>
      </c>
      <c r="AA108" s="775">
        <v>911170</v>
      </c>
      <c r="AB108" s="775">
        <v>908911</v>
      </c>
      <c r="AC108" s="775">
        <v>328966</v>
      </c>
      <c r="AD108" s="775">
        <v>1302009</v>
      </c>
      <c r="AE108" s="775">
        <v>943631</v>
      </c>
      <c r="AF108" s="775">
        <v>916277</v>
      </c>
      <c r="AG108" s="775">
        <v>897437</v>
      </c>
      <c r="AH108" s="775">
        <v>929268</v>
      </c>
      <c r="AI108" s="775">
        <v>813710</v>
      </c>
      <c r="AJ108" s="775">
        <v>919150</v>
      </c>
      <c r="AK108" s="775">
        <v>979018</v>
      </c>
    </row>
    <row r="109" spans="1:37" s="654" customFormat="1" ht="14.1" customHeight="1" x14ac:dyDescent="0.25">
      <c r="A109" s="3511" t="s">
        <v>1236</v>
      </c>
      <c r="B109" s="3499"/>
      <c r="C109" s="3500"/>
      <c r="D109" s="774">
        <f t="shared" si="11"/>
        <v>19.884903312070072</v>
      </c>
      <c r="E109" s="3493">
        <f>0.8+0.5+0.5+0.8+0.7+0.5+0.7+0.7+0.8+0.7+0.6+0.7+0.7+0.6+0.7+0.7+0.8+0.7+0.8+0.9+0.7+0.8+0.7+0.3+1.2+0.8+0.7+0.8+0.8+0.6+0.7+0.8</f>
        <v>22.8</v>
      </c>
      <c r="F109" s="3466">
        <v>843881</v>
      </c>
      <c r="G109" s="3466">
        <v>836311</v>
      </c>
      <c r="H109" s="3466">
        <v>908768</v>
      </c>
      <c r="I109" s="3466">
        <v>894403</v>
      </c>
      <c r="J109" s="3466">
        <v>911722</v>
      </c>
      <c r="K109" s="3466">
        <v>865654</v>
      </c>
      <c r="L109" s="3466">
        <v>1014008</v>
      </c>
      <c r="M109" s="3466">
        <v>946737</v>
      </c>
      <c r="N109" s="3466">
        <v>977264</v>
      </c>
      <c r="O109" s="3466">
        <v>1065019</v>
      </c>
      <c r="P109" s="3466">
        <v>882627</v>
      </c>
      <c r="Q109" s="3466">
        <v>886754</v>
      </c>
      <c r="R109" s="3466">
        <v>927148</v>
      </c>
      <c r="S109" s="3466">
        <v>849635</v>
      </c>
      <c r="T109" s="3466">
        <v>903251</v>
      </c>
      <c r="U109" s="3466">
        <v>891654</v>
      </c>
      <c r="V109" s="3466">
        <v>1096070</v>
      </c>
      <c r="W109" s="3466">
        <v>898746</v>
      </c>
      <c r="X109" s="3466">
        <v>930288</v>
      </c>
      <c r="Y109" s="3466">
        <v>1174935</v>
      </c>
      <c r="Z109" s="3466">
        <v>898802</v>
      </c>
      <c r="AA109" s="3466">
        <v>915453</v>
      </c>
      <c r="AB109" s="3466">
        <v>888111</v>
      </c>
      <c r="AC109" s="3466">
        <v>450624</v>
      </c>
      <c r="AD109" s="3466">
        <v>1292827</v>
      </c>
      <c r="AE109" s="3466">
        <v>932948</v>
      </c>
      <c r="AF109" s="3466">
        <v>916117</v>
      </c>
      <c r="AG109" s="3466">
        <v>860267</v>
      </c>
      <c r="AH109" s="3466">
        <v>1314314</v>
      </c>
      <c r="AI109" s="3466">
        <v>797124</v>
      </c>
      <c r="AJ109" s="3466">
        <v>909155</v>
      </c>
      <c r="AK109" s="3466">
        <v>961703</v>
      </c>
    </row>
    <row r="110" spans="1:37" s="654" customFormat="1" ht="14.1" customHeight="1" x14ac:dyDescent="0.25">
      <c r="A110" s="3514" t="s">
        <v>900</v>
      </c>
      <c r="B110" s="3492" t="s">
        <v>888</v>
      </c>
      <c r="C110" s="3500">
        <f>SUM(F110:AM110)</f>
        <v>29671833</v>
      </c>
      <c r="D110" s="774">
        <f t="shared" si="11"/>
        <v>19.900935898904887</v>
      </c>
      <c r="E110" s="2635"/>
      <c r="F110" s="2782">
        <v>849553</v>
      </c>
      <c r="G110" s="2782">
        <v>805333</v>
      </c>
      <c r="H110" s="2782">
        <v>849909</v>
      </c>
      <c r="I110" s="2782">
        <v>1063970</v>
      </c>
      <c r="J110" s="2782">
        <v>892090</v>
      </c>
      <c r="K110" s="2782">
        <v>865598</v>
      </c>
      <c r="L110" s="2782">
        <v>1022495</v>
      </c>
      <c r="M110" s="2782">
        <v>950978</v>
      </c>
      <c r="N110" s="2782">
        <v>1003584</v>
      </c>
      <c r="O110" s="2782">
        <v>980198</v>
      </c>
      <c r="P110" s="2782">
        <v>886913</v>
      </c>
      <c r="Q110" s="2782">
        <v>885253</v>
      </c>
      <c r="R110" s="2782">
        <v>927300</v>
      </c>
      <c r="S110" s="2782">
        <v>823623</v>
      </c>
      <c r="T110" s="2782">
        <v>922947</v>
      </c>
      <c r="U110" s="2782">
        <v>895711</v>
      </c>
      <c r="V110" s="2782">
        <v>1109540</v>
      </c>
      <c r="W110" s="2782">
        <v>908612</v>
      </c>
      <c r="X110" s="2782">
        <v>945318</v>
      </c>
      <c r="Y110" s="2782">
        <v>1205591</v>
      </c>
      <c r="Z110" s="2782">
        <v>916649</v>
      </c>
      <c r="AA110" s="2782">
        <v>924792</v>
      </c>
      <c r="AB110" s="2782">
        <v>914405</v>
      </c>
      <c r="AC110" s="2782">
        <v>335682</v>
      </c>
      <c r="AD110" s="2782">
        <v>1312302</v>
      </c>
      <c r="AE110" s="2782">
        <v>958870</v>
      </c>
      <c r="AF110" s="2782">
        <v>913401</v>
      </c>
      <c r="AG110" s="2782">
        <v>895805</v>
      </c>
      <c r="AH110" s="2782">
        <v>960441</v>
      </c>
      <c r="AI110" s="2782">
        <v>818875</v>
      </c>
      <c r="AJ110" s="2782">
        <v>928969</v>
      </c>
      <c r="AK110" s="2782">
        <v>997126</v>
      </c>
    </row>
    <row r="111" spans="1:37" s="654" customFormat="1" ht="14.1" customHeight="1" x14ac:dyDescent="0.25">
      <c r="A111" s="3513" t="s">
        <v>2711</v>
      </c>
      <c r="B111" s="3470" t="s">
        <v>2712</v>
      </c>
      <c r="C111" s="1920"/>
      <c r="D111" s="774">
        <f t="shared" si="11"/>
        <v>19.961546487714138</v>
      </c>
      <c r="E111" s="3476">
        <f>0.51+0.6+0.84+0.56+0.56+0.59+0.7+0.56+0.53+0.93+0.57+0.5+0.61+0.55+0.56+0.53+0.63+0.57+0.57+0.67+0.55+0.57+0.54+0.44+0.66+0.54+0.55+0.49+1.28+0.58+0.56+0.57</f>
        <v>19.470000000000002</v>
      </c>
      <c r="F111" s="3466">
        <v>871556</v>
      </c>
      <c r="G111" s="3466">
        <v>815266</v>
      </c>
      <c r="H111" s="3466">
        <v>832247</v>
      </c>
      <c r="I111" s="3466">
        <v>911852</v>
      </c>
      <c r="J111" s="3466">
        <v>912725</v>
      </c>
      <c r="K111" s="3466">
        <v>880290</v>
      </c>
      <c r="L111" s="3466">
        <v>1011372</v>
      </c>
      <c r="M111" s="3466">
        <v>963873</v>
      </c>
      <c r="N111" s="3466">
        <v>986834</v>
      </c>
      <c r="O111" s="3466">
        <v>951747</v>
      </c>
      <c r="P111" s="3466">
        <v>914508</v>
      </c>
      <c r="Q111" s="3466">
        <v>917983</v>
      </c>
      <c r="R111" s="3466">
        <v>959357</v>
      </c>
      <c r="S111" s="3466">
        <v>876366</v>
      </c>
      <c r="T111" s="3466">
        <v>931240</v>
      </c>
      <c r="U111" s="3466">
        <v>916923</v>
      </c>
      <c r="V111" s="3466">
        <v>1094380</v>
      </c>
      <c r="W111" s="3466">
        <v>919448</v>
      </c>
      <c r="X111" s="3466">
        <v>957268</v>
      </c>
      <c r="Y111" s="3466">
        <v>1197272</v>
      </c>
      <c r="Z111" s="3466">
        <v>931769</v>
      </c>
      <c r="AA111" s="3466">
        <v>928150</v>
      </c>
      <c r="AB111" s="3466">
        <v>929965</v>
      </c>
      <c r="AC111" s="3466">
        <v>331625</v>
      </c>
      <c r="AD111" s="3466">
        <v>1318582</v>
      </c>
      <c r="AE111" s="3466">
        <v>959557</v>
      </c>
      <c r="AF111" s="3466">
        <v>934890</v>
      </c>
      <c r="AG111" s="3466">
        <v>912833</v>
      </c>
      <c r="AH111" s="3466">
        <v>946228</v>
      </c>
      <c r="AI111" s="3466">
        <v>832388</v>
      </c>
      <c r="AJ111" s="3466">
        <v>939328</v>
      </c>
      <c r="AK111" s="3466">
        <v>1001229</v>
      </c>
    </row>
    <row r="112" spans="1:37" s="654" customFormat="1" ht="14.1" customHeight="1" x14ac:dyDescent="0.25">
      <c r="A112" s="1222" t="s">
        <v>2736</v>
      </c>
      <c r="B112" s="3515" t="s">
        <v>2735</v>
      </c>
      <c r="C112" s="3500">
        <f>SUM(F112:AM112)</f>
        <v>30518097</v>
      </c>
      <c r="D112" s="774">
        <f t="shared" si="11"/>
        <v>20.4012586255568</v>
      </c>
      <c r="E112" s="2635">
        <f>14.85+16.5+24.45+15.7+20.77+17.9+20.83+16.94+13.66+24.01+18.07+14.78+17.29+16.65+16.64+14.46+17.72+14.71+13.61+14.43+13.02+13.81+13.66+14.81+13.01+12.31+12.03+10.02+40.37+13.51+13.47+12.94</f>
        <v>526.92999999999995</v>
      </c>
      <c r="F112" s="2782">
        <v>877903</v>
      </c>
      <c r="G112" s="2782">
        <v>835701</v>
      </c>
      <c r="H112" s="2782">
        <v>904518</v>
      </c>
      <c r="I112" s="2782">
        <v>945947</v>
      </c>
      <c r="J112" s="2782">
        <v>956036</v>
      </c>
      <c r="K112" s="2782">
        <v>907174</v>
      </c>
      <c r="L112" s="2782">
        <v>1032837</v>
      </c>
      <c r="M112" s="2782">
        <v>993653</v>
      </c>
      <c r="N112" s="2782">
        <v>993850</v>
      </c>
      <c r="O112" s="2782">
        <v>1010396</v>
      </c>
      <c r="P112" s="2782">
        <v>920348</v>
      </c>
      <c r="Q112" s="2782">
        <v>917471</v>
      </c>
      <c r="R112" s="2782">
        <v>964940</v>
      </c>
      <c r="S112" s="2782">
        <v>884986</v>
      </c>
      <c r="T112" s="2782">
        <v>953965</v>
      </c>
      <c r="U112" s="2782">
        <v>918607</v>
      </c>
      <c r="V112" s="2782">
        <v>1097420</v>
      </c>
      <c r="W112" s="2782">
        <v>925021</v>
      </c>
      <c r="X112" s="2782">
        <v>970957</v>
      </c>
      <c r="Y112" s="2782">
        <v>1185842</v>
      </c>
      <c r="Z112" s="2782">
        <v>938802</v>
      </c>
      <c r="AA112" s="2782">
        <v>955176</v>
      </c>
      <c r="AB112" s="2782">
        <v>943688</v>
      </c>
      <c r="AC112" s="2782">
        <v>364463</v>
      </c>
      <c r="AD112" s="2782">
        <v>1297234</v>
      </c>
      <c r="AE112" s="2782">
        <v>989507</v>
      </c>
      <c r="AF112" s="2782">
        <v>938737</v>
      </c>
      <c r="AG112" s="2782">
        <v>931224</v>
      </c>
      <c r="AH112" s="2782">
        <v>1073207</v>
      </c>
      <c r="AI112" s="2782">
        <v>876353</v>
      </c>
      <c r="AJ112" s="2782">
        <v>973725</v>
      </c>
      <c r="AK112" s="2782">
        <v>1038409</v>
      </c>
    </row>
    <row r="113" spans="1:37" s="654" customFormat="1" ht="14.1" customHeight="1" x14ac:dyDescent="0.25">
      <c r="A113" s="3538" t="s">
        <v>2704</v>
      </c>
      <c r="B113" s="3499" t="s">
        <v>901</v>
      </c>
      <c r="C113" s="3500">
        <f>SUM(F113:AM113)</f>
        <v>30934482</v>
      </c>
      <c r="D113" s="774">
        <f t="shared" si="11"/>
        <v>20.629680613022021</v>
      </c>
      <c r="E113" s="3493"/>
      <c r="F113" s="3466">
        <v>821973</v>
      </c>
      <c r="G113" s="3466">
        <v>1207977</v>
      </c>
      <c r="H113" s="3466">
        <v>1746344</v>
      </c>
      <c r="I113" s="3466">
        <v>867726</v>
      </c>
      <c r="J113" s="3466">
        <v>872659</v>
      </c>
      <c r="K113" s="3466">
        <v>828329</v>
      </c>
      <c r="L113" s="3466">
        <v>957442</v>
      </c>
      <c r="M113" s="3466">
        <v>912207</v>
      </c>
      <c r="N113" s="3466">
        <v>939233</v>
      </c>
      <c r="O113" s="3466">
        <v>1496607</v>
      </c>
      <c r="P113" s="3466">
        <v>861007</v>
      </c>
      <c r="Q113" s="3466">
        <v>864655</v>
      </c>
      <c r="R113" s="3466">
        <v>900861</v>
      </c>
      <c r="S113" s="3466">
        <v>838870</v>
      </c>
      <c r="T113" s="3466">
        <v>875302</v>
      </c>
      <c r="U113" s="3466">
        <v>865541</v>
      </c>
      <c r="V113" s="3466">
        <v>1040701</v>
      </c>
      <c r="W113" s="3466">
        <v>868487</v>
      </c>
      <c r="X113" s="3466">
        <v>906970</v>
      </c>
      <c r="Y113" s="3466">
        <v>1129183</v>
      </c>
      <c r="Z113" s="3466">
        <v>877606</v>
      </c>
      <c r="AA113" s="3466">
        <v>881362</v>
      </c>
      <c r="AB113" s="3466">
        <v>875492</v>
      </c>
      <c r="AC113" s="3466">
        <v>511318</v>
      </c>
      <c r="AD113" s="3466">
        <v>1240439</v>
      </c>
      <c r="AE113" s="3466">
        <v>920109</v>
      </c>
      <c r="AF113" s="3466">
        <v>885503</v>
      </c>
      <c r="AG113" s="3466">
        <v>870470</v>
      </c>
      <c r="AH113" s="3466">
        <v>1443115</v>
      </c>
      <c r="AI113" s="3466">
        <v>793646</v>
      </c>
      <c r="AJ113" s="3466">
        <v>885414</v>
      </c>
      <c r="AK113" s="3466">
        <v>947934</v>
      </c>
    </row>
    <row r="114" spans="1:37" s="654" customFormat="1" ht="14.1" customHeight="1" x14ac:dyDescent="0.25">
      <c r="A114" s="1222" t="s">
        <v>1281</v>
      </c>
      <c r="B114" s="3492"/>
      <c r="C114" s="2514"/>
      <c r="D114" s="774">
        <f t="shared" si="11"/>
        <v>20.855804260206359</v>
      </c>
      <c r="E114" s="2635">
        <f>0.67+0.84+1.07+0.74+1.05+0.9+1.07+0.81+0.78+1.24+0.75+0.66+0.76+0.75+0.81+0.74+0.91+0.77+0.81+0.87+0.77+0.82+0.8+0.81+0.9+0.71+0.73+0.65+2.92+0.85+0.8+0.84</f>
        <v>28.6</v>
      </c>
      <c r="F114" s="2782">
        <v>904867</v>
      </c>
      <c r="G114" s="2782">
        <v>867986</v>
      </c>
      <c r="H114" s="2782">
        <v>861018</v>
      </c>
      <c r="I114" s="2782">
        <v>941370</v>
      </c>
      <c r="J114" s="2782">
        <v>988268</v>
      </c>
      <c r="K114" s="2782">
        <v>905442</v>
      </c>
      <c r="L114" s="2782">
        <v>1073143</v>
      </c>
      <c r="M114" s="2782">
        <v>985331</v>
      </c>
      <c r="N114" s="2782">
        <v>1048776</v>
      </c>
      <c r="O114" s="2782">
        <v>1054258</v>
      </c>
      <c r="P114" s="2782">
        <v>933131</v>
      </c>
      <c r="Q114" s="2782">
        <v>960898</v>
      </c>
      <c r="R114" s="2782">
        <v>974601</v>
      </c>
      <c r="S114" s="2782">
        <v>905675</v>
      </c>
      <c r="T114" s="2782">
        <v>953061</v>
      </c>
      <c r="U114" s="2782">
        <v>936743</v>
      </c>
      <c r="V114" s="2782">
        <v>1155885</v>
      </c>
      <c r="W114" s="2782">
        <v>954055</v>
      </c>
      <c r="X114" s="2782">
        <v>973799</v>
      </c>
      <c r="Y114" s="2782">
        <v>1279952</v>
      </c>
      <c r="Z114" s="2782">
        <v>944976</v>
      </c>
      <c r="AA114" s="2782">
        <v>946405</v>
      </c>
      <c r="AB114" s="2782">
        <v>946185</v>
      </c>
      <c r="AC114" s="2782">
        <v>418824</v>
      </c>
      <c r="AD114" s="2782">
        <v>1388106</v>
      </c>
      <c r="AE114" s="2782">
        <v>994259</v>
      </c>
      <c r="AF114" s="2782">
        <v>963323</v>
      </c>
      <c r="AG114" s="2782">
        <v>969104</v>
      </c>
      <c r="AH114" s="2782">
        <v>1090283</v>
      </c>
      <c r="AI114" s="2782">
        <v>868365</v>
      </c>
      <c r="AJ114" s="2782">
        <v>960499</v>
      </c>
      <c r="AK114" s="2782">
        <v>1032144</v>
      </c>
    </row>
    <row r="115" spans="1:37" s="654" customFormat="1" ht="14.1" customHeight="1" x14ac:dyDescent="0.25">
      <c r="A115" s="1225" t="s">
        <v>2713</v>
      </c>
      <c r="B115" s="3499" t="s">
        <v>2714</v>
      </c>
      <c r="C115" s="2514"/>
      <c r="D115" s="774">
        <f t="shared" si="11"/>
        <v>22.134667227639923</v>
      </c>
      <c r="E115" s="3493">
        <f>1.65+1.86+2.2+1.7+1.84+1.81+2.12+1.71+1.83+2.83+1.62+1.57+1.73+1.39+1.71+1.59+2+1.69+1.74+2.17+1.65+1.68+1.68+1+2.24+1.63+1.6+1.58+3.73+1.68+1.74+1.76</f>
        <v>58.730000000000004</v>
      </c>
      <c r="F115" s="3466">
        <v>949900</v>
      </c>
      <c r="G115" s="3466">
        <v>912030</v>
      </c>
      <c r="H115" s="3466">
        <v>1046527</v>
      </c>
      <c r="I115" s="3466">
        <v>983191</v>
      </c>
      <c r="J115" s="3466">
        <v>1037570</v>
      </c>
      <c r="K115" s="3466">
        <v>1019019</v>
      </c>
      <c r="L115" s="3466">
        <v>1154919</v>
      </c>
      <c r="M115" s="3466">
        <v>1079939</v>
      </c>
      <c r="N115" s="3466">
        <v>1049829</v>
      </c>
      <c r="O115" s="3466">
        <v>1180396</v>
      </c>
      <c r="P115" s="3466">
        <v>987418</v>
      </c>
      <c r="Q115" s="3466">
        <v>962170</v>
      </c>
      <c r="R115" s="3466">
        <v>1043882</v>
      </c>
      <c r="S115" s="3466">
        <v>885041</v>
      </c>
      <c r="T115" s="3466">
        <v>1019711</v>
      </c>
      <c r="U115" s="3466">
        <v>977815</v>
      </c>
      <c r="V115" s="3466">
        <v>1174613</v>
      </c>
      <c r="W115" s="3466">
        <v>1012138</v>
      </c>
      <c r="X115" s="3466">
        <v>1056710</v>
      </c>
      <c r="Y115" s="3466">
        <v>1267744</v>
      </c>
      <c r="Z115" s="3466">
        <v>1013762</v>
      </c>
      <c r="AA115" s="3466">
        <v>1038708</v>
      </c>
      <c r="AB115" s="3466">
        <v>1017857</v>
      </c>
      <c r="AC115" s="3466">
        <v>448527</v>
      </c>
      <c r="AD115" s="3466">
        <v>1354895</v>
      </c>
      <c r="AE115" s="3466">
        <v>1041687</v>
      </c>
      <c r="AF115" s="3466">
        <v>994301</v>
      </c>
      <c r="AG115" s="3466">
        <v>947139</v>
      </c>
      <c r="AH115" s="3466">
        <v>1560650</v>
      </c>
      <c r="AI115" s="3466">
        <v>915390</v>
      </c>
      <c r="AJ115" s="3466">
        <v>1060295</v>
      </c>
      <c r="AK115" s="3466">
        <v>1102587</v>
      </c>
    </row>
    <row r="116" spans="1:37" s="654" customFormat="1" ht="14.1" customHeight="1" x14ac:dyDescent="0.25">
      <c r="A116" s="3531" t="s">
        <v>2394</v>
      </c>
      <c r="B116" s="3498" t="s">
        <v>902</v>
      </c>
      <c r="C116" s="3500">
        <f>SUM(F116:AM116)</f>
        <v>33176584</v>
      </c>
      <c r="D116" s="774">
        <f t="shared" si="11"/>
        <v>22.175395621311285</v>
      </c>
      <c r="E116" s="3494"/>
      <c r="F116" s="2782">
        <v>966131</v>
      </c>
      <c r="G116" s="2782">
        <v>901509</v>
      </c>
      <c r="H116" s="2782">
        <v>990112</v>
      </c>
      <c r="I116" s="2782">
        <v>1021919</v>
      </c>
      <c r="J116" s="2782">
        <v>1065383</v>
      </c>
      <c r="K116" s="2782">
        <v>987286</v>
      </c>
      <c r="L116" s="2782">
        <v>1090288</v>
      </c>
      <c r="M116" s="2782">
        <v>1083454</v>
      </c>
      <c r="N116" s="2782">
        <v>1046207</v>
      </c>
      <c r="O116" s="2782">
        <v>1111422</v>
      </c>
      <c r="P116" s="2782">
        <v>1012375</v>
      </c>
      <c r="Q116" s="2782">
        <v>998184</v>
      </c>
      <c r="R116" s="2782">
        <v>1061028</v>
      </c>
      <c r="S116" s="2782">
        <v>982993</v>
      </c>
      <c r="T116" s="2782">
        <v>1046517</v>
      </c>
      <c r="U116" s="2782">
        <v>998430</v>
      </c>
      <c r="V116" s="2782">
        <v>1156843</v>
      </c>
      <c r="W116" s="2782">
        <v>1025184</v>
      </c>
      <c r="X116" s="2782">
        <v>1068939</v>
      </c>
      <c r="Y116" s="2782">
        <v>1256169</v>
      </c>
      <c r="Z116" s="2782">
        <v>1023675</v>
      </c>
      <c r="AA116" s="2782">
        <v>1049571</v>
      </c>
      <c r="AB116" s="2782">
        <v>1036188</v>
      </c>
      <c r="AC116" s="2782">
        <v>427211</v>
      </c>
      <c r="AD116" s="2782">
        <v>1341380</v>
      </c>
      <c r="AE116" s="2782">
        <v>1084360</v>
      </c>
      <c r="AF116" s="2782">
        <v>1024516</v>
      </c>
      <c r="AG116" s="2782">
        <v>980999</v>
      </c>
      <c r="AH116" s="2782">
        <v>1172128</v>
      </c>
      <c r="AI116" s="2782">
        <v>972634</v>
      </c>
      <c r="AJ116" s="2782">
        <v>1065898</v>
      </c>
      <c r="AK116" s="2782">
        <v>1127651</v>
      </c>
    </row>
    <row r="117" spans="1:37" s="654" customFormat="1" ht="14.1" customHeight="1" x14ac:dyDescent="0.25">
      <c r="A117" s="1508" t="s">
        <v>2729</v>
      </c>
      <c r="B117" s="3508" t="s">
        <v>2728</v>
      </c>
      <c r="C117" s="2781"/>
      <c r="D117" s="774">
        <f t="shared" si="11"/>
        <v>22.242564097542548</v>
      </c>
      <c r="E117" s="3493">
        <f>2.54+3.08+4.07+2.63+3.55+3.03+3.67+2.88+2.4+4.34+2.32+2.93+2.71+2.76+2.44+2.99+2.77+2.83+2.94+2.52+2.73+2.66+2.68+2.69+2.46+2.46+2.2+10.02+3.08+2.83+2.72</f>
        <v>95.929999999999978</v>
      </c>
      <c r="F117" s="3466">
        <v>969925</v>
      </c>
      <c r="G117" s="3466">
        <v>905791</v>
      </c>
      <c r="H117" s="3466">
        <v>980632</v>
      </c>
      <c r="I117" s="3466">
        <v>1026259</v>
      </c>
      <c r="J117" s="3466">
        <v>1074603</v>
      </c>
      <c r="K117" s="3466">
        <v>993181</v>
      </c>
      <c r="L117" s="3466">
        <v>1098677</v>
      </c>
      <c r="M117" s="3466">
        <v>1088826</v>
      </c>
      <c r="N117" s="3466">
        <v>1050130</v>
      </c>
      <c r="O117" s="3466">
        <v>1110569</v>
      </c>
      <c r="P117" s="3466">
        <v>1016267</v>
      </c>
      <c r="Q117" s="3466">
        <v>1002498</v>
      </c>
      <c r="R117" s="3466">
        <v>1065966</v>
      </c>
      <c r="S117" s="3466">
        <v>986762</v>
      </c>
      <c r="T117" s="3466">
        <v>1052343</v>
      </c>
      <c r="U117" s="3466">
        <v>1003752</v>
      </c>
      <c r="V117" s="3466">
        <v>1158786</v>
      </c>
      <c r="W117" s="3466">
        <v>1028436</v>
      </c>
      <c r="X117" s="3466">
        <v>1073059</v>
      </c>
      <c r="Y117" s="3466">
        <v>1261359</v>
      </c>
      <c r="Z117" s="3466">
        <v>1028788</v>
      </c>
      <c r="AA117" s="3466">
        <v>1052575</v>
      </c>
      <c r="AB117" s="3466">
        <v>1041531</v>
      </c>
      <c r="AC117" s="3466">
        <v>396474</v>
      </c>
      <c r="AD117" s="3466">
        <v>1346607</v>
      </c>
      <c r="AE117" s="3466">
        <v>1088682</v>
      </c>
      <c r="AF117" s="3466">
        <v>1028382</v>
      </c>
      <c r="AG117" s="3466">
        <v>990480</v>
      </c>
      <c r="AH117" s="3466">
        <v>1177720</v>
      </c>
      <c r="AI117" s="3466">
        <v>978648</v>
      </c>
      <c r="AJ117" s="3466">
        <v>1071070</v>
      </c>
      <c r="AK117" s="3466">
        <v>1134039</v>
      </c>
    </row>
    <row r="118" spans="1:37" s="654" customFormat="1" ht="14.1" customHeight="1" x14ac:dyDescent="0.25">
      <c r="A118" s="3532" t="s">
        <v>2723</v>
      </c>
      <c r="B118" s="3509" t="s">
        <v>2724</v>
      </c>
      <c r="C118" s="2781"/>
      <c r="D118" s="774">
        <f t="shared" si="11"/>
        <v>22.268422099105436</v>
      </c>
      <c r="E118" s="2635">
        <f>2.08+3.6+4.66+3.07+4.29+2.81+3.23+3.48+2.86+5.3+2.21+2.83+2.28+1.85+2.27+2.96+3.54+3.44+2.34+2.4+3+3.28+3.09+2.27+3.18+3.08+1.94+2.52+7.92+3.47+3.38+3.12</f>
        <v>101.75</v>
      </c>
      <c r="F118" s="2782">
        <v>954760</v>
      </c>
      <c r="G118" s="2782">
        <v>910174</v>
      </c>
      <c r="H118" s="2782">
        <v>1022704</v>
      </c>
      <c r="I118" s="2782">
        <v>1046681</v>
      </c>
      <c r="J118" s="2782">
        <v>1078393</v>
      </c>
      <c r="K118" s="2782">
        <v>977961</v>
      </c>
      <c r="L118" s="2782">
        <v>1126095</v>
      </c>
      <c r="M118" s="2782">
        <v>1086148</v>
      </c>
      <c r="N118" s="2782">
        <v>1081118</v>
      </c>
      <c r="O118" s="2782">
        <v>1124119</v>
      </c>
      <c r="P118" s="2782">
        <v>987879</v>
      </c>
      <c r="Q118" s="2782">
        <v>999058</v>
      </c>
      <c r="R118" s="2782">
        <v>1040488</v>
      </c>
      <c r="S118" s="2782">
        <v>946849</v>
      </c>
      <c r="T118" s="2782">
        <v>1037974</v>
      </c>
      <c r="U118" s="2782">
        <v>1002624</v>
      </c>
      <c r="V118" s="2782">
        <v>1193715</v>
      </c>
      <c r="W118" s="2782">
        <v>1029711</v>
      </c>
      <c r="X118" s="2782">
        <v>1066578</v>
      </c>
      <c r="Y118" s="2782">
        <v>1282013</v>
      </c>
      <c r="Z118" s="2782">
        <v>1025328</v>
      </c>
      <c r="AA118" s="2782">
        <v>1050168</v>
      </c>
      <c r="AB118" s="2782">
        <v>1048041</v>
      </c>
      <c r="AC118" s="2782">
        <v>427040</v>
      </c>
      <c r="AD118" s="2782">
        <v>1372497</v>
      </c>
      <c r="AE118" s="2782">
        <v>1084089</v>
      </c>
      <c r="AF118" s="2782">
        <v>1024501</v>
      </c>
      <c r="AG118" s="2782">
        <v>986287</v>
      </c>
      <c r="AH118" s="2782">
        <v>1267057</v>
      </c>
      <c r="AI118" s="2782">
        <v>971281</v>
      </c>
      <c r="AJ118" s="2782">
        <v>971281</v>
      </c>
      <c r="AK118" s="2782">
        <v>1131847</v>
      </c>
    </row>
    <row r="119" spans="1:37" s="654" customFormat="1" ht="14.1" customHeight="1" x14ac:dyDescent="0.25">
      <c r="A119" s="2190" t="s">
        <v>2134</v>
      </c>
      <c r="B119" s="3497"/>
      <c r="C119" s="2514"/>
      <c r="D119" s="774">
        <f t="shared" si="11"/>
        <v>22.394012168688491</v>
      </c>
      <c r="E119" s="3495">
        <f>5.61+6.31+7.65+5.65+6.87+6.48+8.06+5.94+5.42+8.81+5.58+5.05+5.91+5.62+5.67+5.31+6.17+5.89+5.95+6.11+5.56+5.71+5.63+4.13+5.85+5.37+5.71+5.16+11.68+6.18+5.93+5.65</f>
        <v>196.62000000000003</v>
      </c>
      <c r="F119" s="3466">
        <v>974363</v>
      </c>
      <c r="G119" s="3466">
        <v>910634</v>
      </c>
      <c r="H119" s="3466">
        <v>999839</v>
      </c>
      <c r="I119" s="3466">
        <v>1040627</v>
      </c>
      <c r="J119" s="3466">
        <v>1089210</v>
      </c>
      <c r="K119" s="3466">
        <v>997449</v>
      </c>
      <c r="L119" s="3466">
        <v>1100168</v>
      </c>
      <c r="M119" s="3466">
        <v>1092607</v>
      </c>
      <c r="N119" s="3466">
        <v>1051353</v>
      </c>
      <c r="O119" s="3466">
        <v>1115870</v>
      </c>
      <c r="P119" s="3466">
        <v>1025228</v>
      </c>
      <c r="Q119" s="3466">
        <v>1008774</v>
      </c>
      <c r="R119" s="3466">
        <v>1073198</v>
      </c>
      <c r="S119" s="3466">
        <v>994064</v>
      </c>
      <c r="T119" s="3466">
        <v>1058878</v>
      </c>
      <c r="U119" s="3466">
        <v>1009175</v>
      </c>
      <c r="V119" s="3466">
        <v>1168374</v>
      </c>
      <c r="W119" s="3466">
        <v>1034385</v>
      </c>
      <c r="X119" s="3466">
        <v>1076567</v>
      </c>
      <c r="Y119" s="3466">
        <v>1256284</v>
      </c>
      <c r="Z119" s="3466">
        <v>1032396</v>
      </c>
      <c r="AA119" s="3466">
        <v>1058575</v>
      </c>
      <c r="AB119" s="3466">
        <v>1045981</v>
      </c>
      <c r="AC119" s="3466">
        <v>427225</v>
      </c>
      <c r="AD119" s="3466">
        <v>1347341</v>
      </c>
      <c r="AE119" s="3466">
        <v>1092317</v>
      </c>
      <c r="AF119" s="3466">
        <v>1015035</v>
      </c>
      <c r="AG119" s="3466">
        <v>995879</v>
      </c>
      <c r="AH119" s="3466">
        <v>1250727</v>
      </c>
      <c r="AI119" s="3466">
        <v>986078</v>
      </c>
      <c r="AJ119" s="3466">
        <v>1077025</v>
      </c>
      <c r="AK119" s="3466">
        <v>1139884</v>
      </c>
    </row>
    <row r="120" spans="1:37" s="654" customFormat="1" ht="14.1" customHeight="1" x14ac:dyDescent="0.25">
      <c r="A120" s="1225" t="s">
        <v>2725</v>
      </c>
      <c r="B120" s="3509" t="s">
        <v>2730</v>
      </c>
      <c r="C120" s="2781"/>
      <c r="D120" s="774">
        <f t="shared" si="11"/>
        <v>22.556955917273601</v>
      </c>
      <c r="E120" s="2635">
        <f>38.01+37.87+55.64+31.47+44.64+38.82+45.16+35.18+32.56+55.61+35.43+29.33+34.48+38.9+36.95+28.48+37.2+34.86+36.42+38.47+31.9+35.3+40.18+42.32+32.96+29.31+30.42+28.94+150.18+41.91+35.81+32.68</f>
        <v>1297.3900000000001</v>
      </c>
      <c r="F120" s="2782">
        <v>982869</v>
      </c>
      <c r="G120" s="2782">
        <v>912778</v>
      </c>
      <c r="H120" s="2782">
        <v>995366</v>
      </c>
      <c r="I120" s="2782">
        <v>1051142</v>
      </c>
      <c r="J120" s="2782">
        <v>1082270</v>
      </c>
      <c r="K120" s="2782">
        <v>1003334</v>
      </c>
      <c r="L120" s="2782">
        <v>1123228</v>
      </c>
      <c r="M120" s="2782">
        <v>1101107</v>
      </c>
      <c r="N120" s="2782">
        <v>1079118</v>
      </c>
      <c r="O120" s="2782">
        <v>1116705</v>
      </c>
      <c r="P120" s="2782">
        <v>1026651</v>
      </c>
      <c r="Q120" s="2782">
        <v>1016863</v>
      </c>
      <c r="R120" s="2782">
        <v>1075625</v>
      </c>
      <c r="S120" s="2782">
        <v>998754</v>
      </c>
      <c r="T120" s="2782">
        <v>1061117</v>
      </c>
      <c r="U120" s="2782">
        <v>1016051</v>
      </c>
      <c r="V120" s="2782">
        <v>1182103</v>
      </c>
      <c r="W120" s="2782">
        <v>1040578</v>
      </c>
      <c r="X120" s="2782">
        <v>1086493</v>
      </c>
      <c r="Y120" s="2782">
        <v>1279532</v>
      </c>
      <c r="Z120" s="2782">
        <v>1042387</v>
      </c>
      <c r="AA120" s="2782">
        <v>1065755</v>
      </c>
      <c r="AB120" s="2782">
        <v>1055851</v>
      </c>
      <c r="AC120" s="2782">
        <v>400791</v>
      </c>
      <c r="AD120" s="2782">
        <v>1381706</v>
      </c>
      <c r="AE120" s="2782">
        <v>1106075</v>
      </c>
      <c r="AF120" s="2782">
        <v>1047551</v>
      </c>
      <c r="AG120" s="2782">
        <v>1015420</v>
      </c>
      <c r="AH120" s="2782">
        <v>1169268</v>
      </c>
      <c r="AI120" s="2782">
        <v>986773</v>
      </c>
      <c r="AJ120" s="2782">
        <v>1081277</v>
      </c>
      <c r="AK120" s="2782">
        <v>1150799</v>
      </c>
    </row>
    <row r="121" spans="1:37" s="654" customFormat="1" ht="14.1" customHeight="1" x14ac:dyDescent="0.25">
      <c r="A121" s="1508" t="s">
        <v>2200</v>
      </c>
      <c r="B121" s="3499"/>
      <c r="C121" s="2514"/>
      <c r="D121" s="774">
        <f t="shared" si="11"/>
        <v>22.605706590497068</v>
      </c>
      <c r="E121" s="3493">
        <f>0.46+0.56+0.76+0.59+0.59+0.54+0.65+0.49+0.47+0.85+0.49+0.45+0.55+0.47+0.52+0.46+0.55+0.52+0.5+0.58+0.48+0.49+0.47+0.41+0.58+0.5+0.47+0.41+1.22+0.51+0.51+0.5</f>
        <v>17.600000000000005</v>
      </c>
      <c r="F121" s="3466">
        <v>974274</v>
      </c>
      <c r="G121" s="3466">
        <v>906182</v>
      </c>
      <c r="H121" s="3466">
        <v>931164</v>
      </c>
      <c r="I121" s="3466">
        <v>1048582</v>
      </c>
      <c r="J121" s="3466">
        <v>1019571</v>
      </c>
      <c r="K121" s="3466">
        <v>1003381</v>
      </c>
      <c r="L121" s="3466">
        <v>1223052</v>
      </c>
      <c r="M121" s="3466">
        <v>1069755</v>
      </c>
      <c r="N121" s="3466">
        <v>1183578</v>
      </c>
      <c r="O121" s="3466">
        <v>1059917</v>
      </c>
      <c r="P121" s="3466">
        <v>1019543</v>
      </c>
      <c r="Q121" s="3466">
        <v>1015141</v>
      </c>
      <c r="R121" s="3466">
        <v>1065274</v>
      </c>
      <c r="S121" s="3466">
        <v>979946</v>
      </c>
      <c r="T121" s="3466">
        <v>1037594</v>
      </c>
      <c r="U121" s="3466">
        <v>1017975</v>
      </c>
      <c r="V121" s="3466">
        <v>1298006</v>
      </c>
      <c r="W121" s="3466">
        <v>1016258</v>
      </c>
      <c r="X121" s="3466">
        <v>1066413</v>
      </c>
      <c r="Y121" s="3466">
        <v>1440641</v>
      </c>
      <c r="Z121" s="3466">
        <v>1036025</v>
      </c>
      <c r="AA121" s="3466">
        <v>1027848</v>
      </c>
      <c r="AB121" s="3466">
        <v>1035832</v>
      </c>
      <c r="AC121" s="3466">
        <v>391990</v>
      </c>
      <c r="AD121" s="3466">
        <v>1561118</v>
      </c>
      <c r="AE121" s="3466">
        <v>1072536</v>
      </c>
      <c r="AF121" s="3466">
        <v>1044963</v>
      </c>
      <c r="AG121" s="3466">
        <v>1008256</v>
      </c>
      <c r="AH121" s="3466">
        <v>1042996</v>
      </c>
      <c r="AI121" s="3466">
        <v>923685</v>
      </c>
      <c r="AJ121" s="3466">
        <v>1055241</v>
      </c>
      <c r="AK121" s="3466">
        <v>1114533</v>
      </c>
    </row>
    <row r="122" spans="1:37" s="654" customFormat="1" ht="14.1" customHeight="1" x14ac:dyDescent="0.25">
      <c r="A122" s="3533" t="s">
        <v>2701</v>
      </c>
      <c r="B122" s="3492" t="s">
        <v>903</v>
      </c>
      <c r="C122" s="3500">
        <f>SUM(F122:AM122)</f>
        <v>34304455</v>
      </c>
      <c r="D122" s="774">
        <f t="shared" si="11"/>
        <v>22.71799375572008</v>
      </c>
      <c r="E122" s="2635"/>
      <c r="F122" s="2782">
        <v>938859</v>
      </c>
      <c r="G122" s="2782">
        <v>964572</v>
      </c>
      <c r="H122" s="2782">
        <v>1057797</v>
      </c>
      <c r="I122" s="2782">
        <v>1018620</v>
      </c>
      <c r="J122" s="2782">
        <v>1044975</v>
      </c>
      <c r="K122" s="2782">
        <v>968770</v>
      </c>
      <c r="L122" s="2782">
        <v>1137165</v>
      </c>
      <c r="M122" s="2782">
        <v>1092910</v>
      </c>
      <c r="N122" s="2782">
        <v>1059130</v>
      </c>
      <c r="O122" s="2782">
        <v>1288136</v>
      </c>
      <c r="P122" s="2782">
        <v>991734</v>
      </c>
      <c r="Q122" s="2782">
        <v>994705</v>
      </c>
      <c r="R122" s="2782">
        <v>1053051</v>
      </c>
      <c r="S122" s="2782">
        <v>973397</v>
      </c>
      <c r="T122" s="2782">
        <v>1022871</v>
      </c>
      <c r="U122" s="2782">
        <v>1002783</v>
      </c>
      <c r="V122" s="2782">
        <v>1197998</v>
      </c>
      <c r="W122" s="2782">
        <v>1041970</v>
      </c>
      <c r="X122" s="2782">
        <v>1078521</v>
      </c>
      <c r="Y122" s="2782">
        <v>1255544</v>
      </c>
      <c r="Z122" s="2782">
        <v>1028002</v>
      </c>
      <c r="AA122" s="2782">
        <v>1073184</v>
      </c>
      <c r="AB122" s="2782">
        <v>1012713</v>
      </c>
      <c r="AC122" s="2782">
        <v>555985</v>
      </c>
      <c r="AD122" s="2782">
        <v>1375941</v>
      </c>
      <c r="AE122" s="2782">
        <v>1080740</v>
      </c>
      <c r="AF122" s="2782">
        <v>1062393</v>
      </c>
      <c r="AG122" s="2782">
        <v>984672</v>
      </c>
      <c r="AH122" s="2782">
        <v>1863561</v>
      </c>
      <c r="AI122" s="2782">
        <v>932441</v>
      </c>
      <c r="AJ122" s="2782">
        <v>1027832</v>
      </c>
      <c r="AK122" s="2782">
        <v>1123483</v>
      </c>
    </row>
    <row r="123" spans="1:37" s="654" customFormat="1" ht="14.1" customHeight="1" x14ac:dyDescent="0.25">
      <c r="A123" s="3520" t="s">
        <v>2708</v>
      </c>
      <c r="B123" s="3497" t="s">
        <v>2707</v>
      </c>
      <c r="C123" s="2514"/>
      <c r="D123" s="774">
        <f t="shared" si="11"/>
        <v>22.942196838688492</v>
      </c>
      <c r="E123" s="3544">
        <f>2.78+3.31+4.36+5.24+3.68+3.52+4.53+3.25+2.92+4.92+3.05+2.57+3.26+3+3.07+2.76+3.69+3.2+3.25+3.69+2.93+3.11+3.07+2.85+3.62+2.73+2.76+2.31+11.07+3.17+3.02+2.77</f>
        <v>113.46</v>
      </c>
      <c r="F123" s="2782">
        <v>989087</v>
      </c>
      <c r="G123" s="2782">
        <v>923579</v>
      </c>
      <c r="H123" s="2782">
        <v>1020007</v>
      </c>
      <c r="I123" s="2782">
        <v>1077219</v>
      </c>
      <c r="J123" s="2782">
        <v>1090352</v>
      </c>
      <c r="K123" s="2782">
        <v>1007855</v>
      </c>
      <c r="L123" s="2782">
        <v>1179723</v>
      </c>
      <c r="M123" s="2782">
        <v>1105883</v>
      </c>
      <c r="N123" s="2782">
        <v>1142620</v>
      </c>
      <c r="O123" s="2782">
        <v>1130623</v>
      </c>
      <c r="P123" s="2782">
        <v>1035167</v>
      </c>
      <c r="Q123" s="2782">
        <v>1023435</v>
      </c>
      <c r="R123" s="2782">
        <v>1081258</v>
      </c>
      <c r="S123" s="2782">
        <v>1004650</v>
      </c>
      <c r="T123" s="2782">
        <v>1068830</v>
      </c>
      <c r="U123" s="2782">
        <v>1023758</v>
      </c>
      <c r="V123" s="2782">
        <v>1250031</v>
      </c>
      <c r="W123" s="2782">
        <v>1047282</v>
      </c>
      <c r="X123" s="2782">
        <v>1094326</v>
      </c>
      <c r="Y123" s="2782">
        <v>1356686</v>
      </c>
      <c r="Z123" s="2782">
        <v>1049126</v>
      </c>
      <c r="AA123" s="2782">
        <v>1071818</v>
      </c>
      <c r="AB123" s="2782">
        <v>1060674</v>
      </c>
      <c r="AC123" s="2782">
        <v>423493</v>
      </c>
      <c r="AD123" s="2782">
        <v>1442516</v>
      </c>
      <c r="AE123" s="2782">
        <v>1109162</v>
      </c>
      <c r="AF123" s="2782">
        <v>1055643</v>
      </c>
      <c r="AG123" s="2782">
        <v>1008244</v>
      </c>
      <c r="AH123" s="2782">
        <v>1193312</v>
      </c>
      <c r="AI123" s="2782">
        <v>991464</v>
      </c>
      <c r="AJ123" s="2782">
        <v>1087326</v>
      </c>
      <c r="AK123" s="2782">
        <v>1152209</v>
      </c>
    </row>
    <row r="124" spans="1:37" s="654" customFormat="1" ht="14.1" customHeight="1" x14ac:dyDescent="0.25">
      <c r="A124" s="3501" t="s">
        <v>904</v>
      </c>
      <c r="B124" s="3471" t="s">
        <v>905</v>
      </c>
      <c r="C124" s="776">
        <f>SUM(F124:AM124)</f>
        <v>34414800</v>
      </c>
      <c r="D124" s="774">
        <f t="shared" si="11"/>
        <v>22.999489279305266</v>
      </c>
      <c r="E124" s="3252"/>
      <c r="F124" s="1921">
        <v>990352</v>
      </c>
      <c r="G124" s="1921">
        <v>923953</v>
      </c>
      <c r="H124" s="1921">
        <v>1031396</v>
      </c>
      <c r="I124" s="1921">
        <v>1072437</v>
      </c>
      <c r="J124" s="1921">
        <v>1094132</v>
      </c>
      <c r="K124" s="1921">
        <v>1009008</v>
      </c>
      <c r="L124" s="1921">
        <v>1179470</v>
      </c>
      <c r="M124" s="1921">
        <v>1109772</v>
      </c>
      <c r="N124" s="1921">
        <v>1133260</v>
      </c>
      <c r="O124" s="1921">
        <v>1140122</v>
      </c>
      <c r="P124" s="1921">
        <v>1034415</v>
      </c>
      <c r="Q124" s="1921">
        <v>1022000</v>
      </c>
      <c r="R124" s="1921">
        <v>1083908</v>
      </c>
      <c r="S124" s="1921">
        <v>1006674</v>
      </c>
      <c r="T124" s="1921">
        <v>1071616</v>
      </c>
      <c r="U124" s="1921">
        <v>1024238</v>
      </c>
      <c r="V124" s="1921">
        <v>1243640</v>
      </c>
      <c r="W124" s="1921">
        <v>1051420</v>
      </c>
      <c r="X124" s="1921">
        <v>1097292</v>
      </c>
      <c r="Y124" s="1921">
        <v>1363450</v>
      </c>
      <c r="Z124" s="1921">
        <v>1050258</v>
      </c>
      <c r="AA124" s="1921">
        <v>1074684</v>
      </c>
      <c r="AB124" s="1921">
        <v>1063140</v>
      </c>
      <c r="AC124" s="1921">
        <v>432506</v>
      </c>
      <c r="AD124" s="1921">
        <v>1453616</v>
      </c>
      <c r="AE124" s="1921">
        <v>1109882</v>
      </c>
      <c r="AF124" s="1921">
        <v>1054392</v>
      </c>
      <c r="AG124" s="1921">
        <v>1012388</v>
      </c>
      <c r="AH124" s="1921">
        <v>1242477</v>
      </c>
      <c r="AI124" s="1921">
        <v>994638</v>
      </c>
      <c r="AJ124" s="1921">
        <v>1090102</v>
      </c>
      <c r="AK124" s="1921">
        <v>1154162</v>
      </c>
    </row>
    <row r="125" spans="1:37" s="654" customFormat="1" ht="14.1" customHeight="1" x14ac:dyDescent="0.25">
      <c r="A125" s="3539" t="s">
        <v>2717</v>
      </c>
      <c r="B125" s="3470" t="s">
        <v>2718</v>
      </c>
      <c r="C125" s="1920">
        <f>SUM(F125:AM125)</f>
        <v>34394491</v>
      </c>
      <c r="D125" s="774">
        <f t="shared" si="11"/>
        <v>23.003285170664284</v>
      </c>
      <c r="E125" s="3476">
        <f>1.83+1.95+2.7+1.83+2.45+2.07+2.42+1.94+1.72+2.71+1.88+1.63+1.96+1.85+1.83+1.72+2.11+1.88+1.86+2.06+1.75+1.85+1.82+1.6+1.92+1.7+1.63+1.62+5.11+2.08+1.94+1.82</f>
        <v>65.240000000000009</v>
      </c>
      <c r="F125" s="1922">
        <v>985903</v>
      </c>
      <c r="G125" s="1922">
        <v>972331</v>
      </c>
      <c r="H125" s="1922">
        <v>1095420</v>
      </c>
      <c r="I125" s="1922">
        <v>1015291</v>
      </c>
      <c r="J125" s="1922">
        <v>1055325</v>
      </c>
      <c r="K125" s="1922">
        <v>1062990</v>
      </c>
      <c r="L125" s="1922">
        <v>1172251</v>
      </c>
      <c r="M125" s="1922">
        <v>1117891</v>
      </c>
      <c r="N125" s="1922">
        <v>1079395</v>
      </c>
      <c r="O125" s="1922">
        <v>1220677</v>
      </c>
      <c r="P125" s="1922">
        <v>1039402</v>
      </c>
      <c r="Q125" s="1922">
        <v>1009085</v>
      </c>
      <c r="R125" s="1922">
        <v>1096275</v>
      </c>
      <c r="S125" s="1922">
        <v>1002407</v>
      </c>
      <c r="T125" s="1922">
        <v>1065642</v>
      </c>
      <c r="U125" s="1922">
        <v>1027741</v>
      </c>
      <c r="V125" s="1922">
        <v>1205237</v>
      </c>
      <c r="W125" s="1922">
        <v>1062111</v>
      </c>
      <c r="X125" s="1922">
        <v>1114453</v>
      </c>
      <c r="Y125" s="1922">
        <v>1312281</v>
      </c>
      <c r="Z125" s="1922">
        <v>1068139</v>
      </c>
      <c r="AA125" s="1922">
        <v>1077742</v>
      </c>
      <c r="AB125" s="1922">
        <v>1069409</v>
      </c>
      <c r="AC125" s="1922">
        <v>431610</v>
      </c>
      <c r="AD125" s="1922">
        <v>1411944</v>
      </c>
      <c r="AE125" s="1922">
        <v>1091021</v>
      </c>
      <c r="AF125" s="1922">
        <v>1054702</v>
      </c>
      <c r="AG125" s="1922">
        <v>986031</v>
      </c>
      <c r="AH125" s="1922">
        <v>1307475</v>
      </c>
      <c r="AI125" s="1922">
        <v>941403</v>
      </c>
      <c r="AJ125" s="1922">
        <v>1097268</v>
      </c>
      <c r="AK125" s="1922">
        <v>1145639</v>
      </c>
    </row>
    <row r="126" spans="1:37" s="654" customFormat="1" ht="14.1" customHeight="1" x14ac:dyDescent="0.25">
      <c r="A126" s="3534" t="s">
        <v>2396</v>
      </c>
      <c r="B126" s="3481" t="s">
        <v>906</v>
      </c>
      <c r="C126" s="777">
        <f>SUM(F126:AM126)</f>
        <v>37202956</v>
      </c>
      <c r="D126" s="774">
        <f t="shared" si="11"/>
        <v>24.84395482784813</v>
      </c>
      <c r="E126" s="3480"/>
      <c r="F126" s="775">
        <v>1065712</v>
      </c>
      <c r="G126" s="775">
        <v>1010272</v>
      </c>
      <c r="H126" s="775">
        <v>1109512</v>
      </c>
      <c r="I126" s="775">
        <v>1149760</v>
      </c>
      <c r="J126" s="775">
        <v>1203240</v>
      </c>
      <c r="K126" s="775">
        <v>1095216</v>
      </c>
      <c r="L126" s="775">
        <v>1310616</v>
      </c>
      <c r="M126" s="775">
        <v>1183452</v>
      </c>
      <c r="N126" s="775">
        <v>1234352</v>
      </c>
      <c r="O126" s="775">
        <v>1230780</v>
      </c>
      <c r="P126" s="775">
        <v>1113204</v>
      </c>
      <c r="Q126" s="775">
        <v>1098176</v>
      </c>
      <c r="R126" s="775">
        <v>1171300</v>
      </c>
      <c r="S126" s="775">
        <v>1083316</v>
      </c>
      <c r="T126" s="775">
        <v>1150928</v>
      </c>
      <c r="U126" s="775">
        <v>1111268</v>
      </c>
      <c r="V126" s="775">
        <v>1347696</v>
      </c>
      <c r="W126" s="775">
        <v>1127728</v>
      </c>
      <c r="X126" s="775">
        <v>1176428</v>
      </c>
      <c r="Y126" s="775">
        <v>1464512</v>
      </c>
      <c r="Z126" s="775">
        <v>1126272</v>
      </c>
      <c r="AA126" s="775">
        <v>1147336</v>
      </c>
      <c r="AB126" s="775">
        <v>1139628</v>
      </c>
      <c r="AC126" s="775">
        <v>468864</v>
      </c>
      <c r="AD126" s="775">
        <v>1566824</v>
      </c>
      <c r="AE126" s="775">
        <v>1191404</v>
      </c>
      <c r="AF126" s="775">
        <v>1129196</v>
      </c>
      <c r="AG126" s="775">
        <v>1125448</v>
      </c>
      <c r="AH126" s="775">
        <v>1374900</v>
      </c>
      <c r="AI126" s="775">
        <v>1082272</v>
      </c>
      <c r="AJ126" s="775">
        <v>1168908</v>
      </c>
      <c r="AK126" s="775">
        <v>1244436</v>
      </c>
    </row>
    <row r="127" spans="1:37" s="654" customFormat="1" ht="14.1" customHeight="1" x14ac:dyDescent="0.25">
      <c r="A127" s="3504" t="s">
        <v>2233</v>
      </c>
      <c r="B127" s="3503"/>
      <c r="C127" s="1920"/>
      <c r="D127" s="774">
        <f t="shared" si="11"/>
        <v>25.030163578187288</v>
      </c>
      <c r="E127" s="3475">
        <f>4.32+5.43+5.98+4.67+5.21+4.76+5.15+4.59+4.49+5.61+4.43+4.17+4.57+4.38+4.51+4.32+4.98+4.57+4.58+5.06+4.43+4.49+4.47+3.26+5.26+4.55+4.36+4.47+7.81+5.26+4.77+4.77</f>
        <v>153.68000000000004</v>
      </c>
      <c r="F127" s="775">
        <v>1032684</v>
      </c>
      <c r="G127" s="775">
        <v>1638216</v>
      </c>
      <c r="H127" s="775">
        <v>1607351</v>
      </c>
      <c r="I127" s="775">
        <v>1109030</v>
      </c>
      <c r="J127" s="775">
        <v>1148137</v>
      </c>
      <c r="K127" s="775">
        <v>1062849</v>
      </c>
      <c r="L127" s="775">
        <v>1229767</v>
      </c>
      <c r="M127" s="775">
        <v>1153364</v>
      </c>
      <c r="N127" s="775">
        <v>1163764</v>
      </c>
      <c r="O127" s="775">
        <v>1198412</v>
      </c>
      <c r="P127" s="775">
        <v>1081134</v>
      </c>
      <c r="Q127" s="775">
        <v>1061138</v>
      </c>
      <c r="R127" s="775">
        <v>1129462</v>
      </c>
      <c r="S127" s="775">
        <v>1050759</v>
      </c>
      <c r="T127" s="775">
        <v>1113426</v>
      </c>
      <c r="U127" s="775">
        <v>1063598</v>
      </c>
      <c r="V127" s="775">
        <v>1276051</v>
      </c>
      <c r="W127" s="775">
        <v>1092498</v>
      </c>
      <c r="X127" s="775">
        <v>1139643</v>
      </c>
      <c r="Y127" s="775">
        <v>1388329</v>
      </c>
      <c r="Z127" s="775">
        <v>1089955</v>
      </c>
      <c r="AA127" s="775">
        <v>1115143</v>
      </c>
      <c r="AB127" s="775">
        <v>1105453</v>
      </c>
      <c r="AC127" s="775">
        <v>482053</v>
      </c>
      <c r="AD127" s="775">
        <v>1472970</v>
      </c>
      <c r="AE127" s="775">
        <v>1147280</v>
      </c>
      <c r="AF127" s="775">
        <v>1091739</v>
      </c>
      <c r="AG127" s="775">
        <v>1070200</v>
      </c>
      <c r="AH127" s="775">
        <v>2291374</v>
      </c>
      <c r="AI127" s="775">
        <v>1944624</v>
      </c>
      <c r="AJ127" s="775">
        <v>1132806</v>
      </c>
      <c r="AK127" s="775">
        <v>1193149</v>
      </c>
    </row>
    <row r="128" spans="1:37" s="654" customFormat="1" ht="14.1" customHeight="1" x14ac:dyDescent="0.25">
      <c r="A128" s="4681" t="s">
        <v>2656</v>
      </c>
      <c r="B128" s="4682"/>
      <c r="C128" s="778"/>
      <c r="D128" s="774">
        <f t="shared" si="11"/>
        <v>25.054765973606234</v>
      </c>
      <c r="E128" s="2131">
        <f>41.85+71.13+113.07+35.52+37.77+36.02+51.9+36.63+37.34+97.86+44.37+36.21+46.79+37.93+39.94+36.23+40.48+34.87+43.47+48.96+36.24+32.57+35.6+36.31+45.61+32.48+45.51+21.56+31.16+25.52+35.15+35.21</f>
        <v>1381.26</v>
      </c>
      <c r="F128" s="1921">
        <v>1068018</v>
      </c>
      <c r="G128" s="1921">
        <v>1026631</v>
      </c>
      <c r="H128" s="1921">
        <v>1209025</v>
      </c>
      <c r="I128" s="1921">
        <v>1158363</v>
      </c>
      <c r="J128" s="1921">
        <v>1197793</v>
      </c>
      <c r="K128" s="1921">
        <v>1121626</v>
      </c>
      <c r="L128" s="1921">
        <v>1329100</v>
      </c>
      <c r="M128" s="1921">
        <v>1201796</v>
      </c>
      <c r="N128" s="1921">
        <v>1215481</v>
      </c>
      <c r="O128" s="1921">
        <v>1300603</v>
      </c>
      <c r="P128" s="1921">
        <v>1124884</v>
      </c>
      <c r="Q128" s="1921">
        <v>1087866</v>
      </c>
      <c r="R128" s="1921">
        <v>1178269</v>
      </c>
      <c r="S128" s="1921">
        <v>1091029</v>
      </c>
      <c r="T128" s="1921">
        <v>1161952</v>
      </c>
      <c r="U128" s="1921">
        <v>1103391</v>
      </c>
      <c r="V128" s="1921">
        <v>1368535</v>
      </c>
      <c r="W128" s="1921">
        <v>1137347</v>
      </c>
      <c r="X128" s="1921">
        <v>1175895</v>
      </c>
      <c r="Y128" s="1921">
        <v>1479646</v>
      </c>
      <c r="Z128" s="1921">
        <v>1121841</v>
      </c>
      <c r="AA128" s="1921">
        <v>1151045</v>
      </c>
      <c r="AB128" s="1921">
        <v>1139563</v>
      </c>
      <c r="AC128" s="1921">
        <v>502879</v>
      </c>
      <c r="AD128" s="1921">
        <v>1546886</v>
      </c>
      <c r="AE128" s="1921">
        <v>1164950</v>
      </c>
      <c r="AF128" s="1921">
        <v>1095877</v>
      </c>
      <c r="AG128" s="1921">
        <v>1112420</v>
      </c>
      <c r="AH128" s="1921">
        <v>1473374</v>
      </c>
      <c r="AI128" s="1921">
        <v>1081964</v>
      </c>
      <c r="AJ128" s="1921">
        <v>1184205</v>
      </c>
      <c r="AK128" s="1921">
        <v>1228102</v>
      </c>
    </row>
    <row r="129" spans="1:37" s="654" customFormat="1" ht="14.1" customHeight="1" x14ac:dyDescent="0.25">
      <c r="A129" s="3540" t="s">
        <v>2702</v>
      </c>
      <c r="B129" s="1918" t="s">
        <v>907</v>
      </c>
      <c r="C129" s="1919">
        <f t="shared" ref="C129:C136" si="12">SUM(F129:AM129)</f>
        <v>42391667</v>
      </c>
      <c r="D129" s="774">
        <f t="shared" si="11"/>
        <v>28.3386811629044</v>
      </c>
      <c r="E129" s="3475"/>
      <c r="F129" s="1922">
        <v>1232989</v>
      </c>
      <c r="G129" s="1922">
        <v>1160115</v>
      </c>
      <c r="H129" s="1922">
        <v>1380703</v>
      </c>
      <c r="I129" s="1922">
        <v>1206306</v>
      </c>
      <c r="J129" s="1922">
        <v>1236551</v>
      </c>
      <c r="K129" s="1922">
        <v>1248924</v>
      </c>
      <c r="L129" s="1922">
        <v>1384131</v>
      </c>
      <c r="M129" s="1922">
        <v>1392405</v>
      </c>
      <c r="N129" s="1922">
        <v>1296467</v>
      </c>
      <c r="O129" s="1922">
        <v>1497013</v>
      </c>
      <c r="P129" s="1922">
        <v>1307100</v>
      </c>
      <c r="Q129" s="1922">
        <v>1280921</v>
      </c>
      <c r="R129" s="1922">
        <v>1361368</v>
      </c>
      <c r="S129" s="1922">
        <v>1269624</v>
      </c>
      <c r="T129" s="1922">
        <v>1353080</v>
      </c>
      <c r="U129" s="1922">
        <v>1139364</v>
      </c>
      <c r="V129" s="1922">
        <v>1624095</v>
      </c>
      <c r="W129" s="1922">
        <v>1353863</v>
      </c>
      <c r="X129" s="1922">
        <v>1384645</v>
      </c>
      <c r="Y129" s="1922">
        <v>1710951</v>
      </c>
      <c r="Z129" s="1922">
        <v>1316159</v>
      </c>
      <c r="AA129" s="1922">
        <v>1373722</v>
      </c>
      <c r="AB129" s="1922">
        <v>1328595</v>
      </c>
      <c r="AC129" s="1922">
        <v>675560</v>
      </c>
      <c r="AD129" s="1922">
        <v>1639118</v>
      </c>
      <c r="AE129" s="1922">
        <v>1400277</v>
      </c>
      <c r="AF129" s="1922">
        <v>1157710</v>
      </c>
      <c r="AG129" s="1922">
        <v>1349050</v>
      </c>
      <c r="AH129" s="1922">
        <v>1411673</v>
      </c>
      <c r="AI129" s="1922">
        <v>1288173</v>
      </c>
      <c r="AJ129" s="1922">
        <v>1355857</v>
      </c>
      <c r="AK129" s="1922">
        <v>1275158</v>
      </c>
    </row>
    <row r="130" spans="1:37" s="654" customFormat="1" ht="14.1" customHeight="1" x14ac:dyDescent="0.25">
      <c r="A130" s="3535" t="s">
        <v>2703</v>
      </c>
      <c r="B130" s="3483" t="s">
        <v>908</v>
      </c>
      <c r="C130" s="2791">
        <f t="shared" si="12"/>
        <v>43397340</v>
      </c>
      <c r="D130" s="774">
        <f t="shared" ref="D130:D136" si="13">((F130*100/4457012)+(G130*100/4666092)+(H130*100/4564694)+(I130*100/3934071)+(J130*100/4887915)+(K130*100/4213444)+(L130*100/3969347)+(M130*100/4648398)+(N130*100/4423667)+(O130*100/4183633)+(P130*100/4598571)+(Q130*100/4650256)+(R130*100/4428442)+(S130*100/3615242)+(T130*100/5768156)+(U130*100/4495508)+(V130*100/4650166)+(W130*100/4800546)+(X130*100/5054225)+(Y130*100/4265815)+(Z130*100/4769289)+(AA130*100/4139514)+(AB130*100/4248764)+(AC130*100/4567817)+(AD130*100/6356919)+(AE130*100/4414836)+(AF130*100/5105832)+(AG130*100/5712519)+(AH130*100/11302195)+(AJ130*100/5427923)+(AK130*100/4134752))/31</f>
        <v>28.94016365604805</v>
      </c>
      <c r="E130" s="3482"/>
      <c r="F130" s="775">
        <v>1223891</v>
      </c>
      <c r="G130" s="775">
        <v>1149257</v>
      </c>
      <c r="H130" s="775">
        <v>1373841</v>
      </c>
      <c r="I130" s="775">
        <v>1350281</v>
      </c>
      <c r="J130" s="775">
        <v>1381566</v>
      </c>
      <c r="K130" s="775">
        <v>1239550</v>
      </c>
      <c r="L130" s="775">
        <v>1514638</v>
      </c>
      <c r="M130" s="775">
        <v>1375600</v>
      </c>
      <c r="N130" s="775">
        <v>1431040</v>
      </c>
      <c r="O130" s="775">
        <v>1477783</v>
      </c>
      <c r="P130" s="775">
        <v>1295015</v>
      </c>
      <c r="Q130" s="775">
        <v>1262891</v>
      </c>
      <c r="R130" s="775">
        <v>1349358</v>
      </c>
      <c r="S130" s="775">
        <v>1258899</v>
      </c>
      <c r="T130" s="775">
        <v>1335359</v>
      </c>
      <c r="U130" s="775">
        <v>1271456</v>
      </c>
      <c r="V130" s="775">
        <v>1596335</v>
      </c>
      <c r="W130" s="775">
        <v>1336017</v>
      </c>
      <c r="X130" s="775">
        <v>1369972</v>
      </c>
      <c r="Y130" s="775">
        <v>1690161</v>
      </c>
      <c r="Z130" s="775">
        <v>1300940</v>
      </c>
      <c r="AA130" s="775">
        <v>1352062</v>
      </c>
      <c r="AB130" s="775">
        <v>1313038</v>
      </c>
      <c r="AC130" s="775">
        <v>661378</v>
      </c>
      <c r="AD130" s="775">
        <v>1774515</v>
      </c>
      <c r="AE130" s="775">
        <v>1372494</v>
      </c>
      <c r="AF130" s="775">
        <v>1282322</v>
      </c>
      <c r="AG130" s="775">
        <v>1310511</v>
      </c>
      <c r="AH130" s="775">
        <v>1716677</v>
      </c>
      <c r="AI130" s="775">
        <v>1269406</v>
      </c>
      <c r="AJ130" s="775">
        <v>1345106</v>
      </c>
      <c r="AK130" s="775">
        <v>1415981</v>
      </c>
    </row>
    <row r="131" spans="1:37" s="654" customFormat="1" ht="14.1" customHeight="1" x14ac:dyDescent="0.25">
      <c r="A131" s="3541" t="s">
        <v>909</v>
      </c>
      <c r="B131" s="3474" t="s">
        <v>910</v>
      </c>
      <c r="C131" s="1920">
        <f t="shared" si="12"/>
        <v>45071521</v>
      </c>
      <c r="D131" s="774">
        <f t="shared" si="13"/>
        <v>30.055485670128686</v>
      </c>
      <c r="E131" s="3422"/>
      <c r="F131" s="1922">
        <v>1266066</v>
      </c>
      <c r="G131" s="1922">
        <v>1183514</v>
      </c>
      <c r="H131" s="1922">
        <v>1430304</v>
      </c>
      <c r="I131" s="1922">
        <v>1405919</v>
      </c>
      <c r="J131" s="1922">
        <v>1441275</v>
      </c>
      <c r="K131" s="1922">
        <v>1277016</v>
      </c>
      <c r="L131" s="1922">
        <v>1566658</v>
      </c>
      <c r="M131" s="1922">
        <v>1431013</v>
      </c>
      <c r="N131" s="1922">
        <v>1479010</v>
      </c>
      <c r="O131" s="1922">
        <v>1542811</v>
      </c>
      <c r="P131" s="1922">
        <v>1344444</v>
      </c>
      <c r="Q131" s="1922">
        <v>1309448</v>
      </c>
      <c r="R131" s="1922">
        <v>1398418</v>
      </c>
      <c r="S131" s="1922">
        <v>1310272</v>
      </c>
      <c r="T131" s="1922">
        <v>1387413</v>
      </c>
      <c r="U131" s="1922">
        <v>1316703</v>
      </c>
      <c r="V131" s="1922">
        <v>1649410</v>
      </c>
      <c r="W131" s="1922">
        <v>1397536</v>
      </c>
      <c r="X131" s="1922">
        <v>1425648</v>
      </c>
      <c r="Y131" s="1922">
        <v>1737859</v>
      </c>
      <c r="Z131" s="1922">
        <v>1352563</v>
      </c>
      <c r="AA131" s="1922">
        <v>1413040</v>
      </c>
      <c r="AB131" s="1922">
        <v>1364296</v>
      </c>
      <c r="AC131" s="1922">
        <v>717916</v>
      </c>
      <c r="AD131" s="1922">
        <v>1818923</v>
      </c>
      <c r="AE131" s="1922">
        <v>1430790</v>
      </c>
      <c r="AF131" s="1922">
        <v>1331508</v>
      </c>
      <c r="AG131" s="1922">
        <v>1368435</v>
      </c>
      <c r="AH131" s="1922">
        <v>1781024</v>
      </c>
      <c r="AI131" s="1922">
        <v>1325867</v>
      </c>
      <c r="AJ131" s="1922">
        <v>1393366</v>
      </c>
      <c r="AK131" s="1922">
        <v>1473056</v>
      </c>
    </row>
    <row r="132" spans="1:37" s="654" customFormat="1" ht="14.1" customHeight="1" x14ac:dyDescent="0.25">
      <c r="A132" s="1514" t="s">
        <v>350</v>
      </c>
      <c r="B132" s="3543" t="s">
        <v>911</v>
      </c>
      <c r="C132" s="778">
        <f t="shared" si="12"/>
        <v>55085644</v>
      </c>
      <c r="D132" s="774">
        <f t="shared" si="13"/>
        <v>36.624900395002662</v>
      </c>
      <c r="E132" s="1529"/>
      <c r="F132" s="775">
        <v>1503012</v>
      </c>
      <c r="G132" s="775">
        <v>1614596</v>
      </c>
      <c r="H132" s="775">
        <v>1986964</v>
      </c>
      <c r="I132" s="775">
        <v>1653664</v>
      </c>
      <c r="J132" s="775">
        <v>1759088</v>
      </c>
      <c r="K132" s="775">
        <v>1690788</v>
      </c>
      <c r="L132" s="775">
        <v>1893664</v>
      </c>
      <c r="M132" s="775">
        <v>1699124</v>
      </c>
      <c r="N132" s="775">
        <v>1694064</v>
      </c>
      <c r="O132" s="775">
        <v>2220244</v>
      </c>
      <c r="P132" s="775">
        <v>1551748</v>
      </c>
      <c r="Q132" s="775">
        <v>1518772</v>
      </c>
      <c r="R132" s="775">
        <v>1673652</v>
      </c>
      <c r="S132" s="775">
        <v>1542900</v>
      </c>
      <c r="T132" s="775">
        <v>1631812</v>
      </c>
      <c r="U132" s="775">
        <v>1558304</v>
      </c>
      <c r="V132" s="775">
        <v>1875364</v>
      </c>
      <c r="W132" s="775">
        <v>1689988</v>
      </c>
      <c r="X132" s="775">
        <v>1783780</v>
      </c>
      <c r="Y132" s="775">
        <v>2010836</v>
      </c>
      <c r="Z132" s="775">
        <v>1675396</v>
      </c>
      <c r="AA132" s="775">
        <v>1677396</v>
      </c>
      <c r="AB132" s="775">
        <v>1618660</v>
      </c>
      <c r="AC132" s="775">
        <v>987604</v>
      </c>
      <c r="AD132" s="775">
        <v>2149296</v>
      </c>
      <c r="AE132" s="775">
        <v>1699940</v>
      </c>
      <c r="AF132" s="775">
        <v>1582576</v>
      </c>
      <c r="AG132" s="775">
        <v>1482772</v>
      </c>
      <c r="AH132" s="775">
        <v>2623152</v>
      </c>
      <c r="AI132" s="775">
        <v>1566276</v>
      </c>
      <c r="AJ132" s="775">
        <v>1705124</v>
      </c>
      <c r="AK132" s="775">
        <v>1765088</v>
      </c>
    </row>
    <row r="133" spans="1:37" s="654" customFormat="1" ht="14.1" customHeight="1" x14ac:dyDescent="0.25">
      <c r="A133" s="3542" t="s">
        <v>386</v>
      </c>
      <c r="B133" s="3472" t="s">
        <v>912</v>
      </c>
      <c r="C133" s="2514">
        <f t="shared" si="12"/>
        <v>56120724</v>
      </c>
      <c r="D133" s="774">
        <f t="shared" si="13"/>
        <v>37.323686226465085</v>
      </c>
      <c r="E133" s="3422"/>
      <c r="F133" s="2783">
        <v>1524764</v>
      </c>
      <c r="G133" s="2783">
        <v>1476583</v>
      </c>
      <c r="H133" s="2783">
        <v>1872516</v>
      </c>
      <c r="I133" s="2783">
        <v>1794012</v>
      </c>
      <c r="J133" s="2783">
        <v>1836419</v>
      </c>
      <c r="K133" s="2783">
        <v>1547517</v>
      </c>
      <c r="L133" s="2783">
        <v>1897268</v>
      </c>
      <c r="M133" s="2783">
        <v>1831842</v>
      </c>
      <c r="N133" s="2783">
        <v>1827431</v>
      </c>
      <c r="O133" s="2783">
        <v>2005595</v>
      </c>
      <c r="P133" s="2783">
        <v>1624587</v>
      </c>
      <c r="Q133" s="2783">
        <v>1570974</v>
      </c>
      <c r="R133" s="2783">
        <v>1695483</v>
      </c>
      <c r="S133" s="2783">
        <v>1598857</v>
      </c>
      <c r="T133" s="2783">
        <v>1684677</v>
      </c>
      <c r="U133" s="2783">
        <v>1577092</v>
      </c>
      <c r="V133" s="2783">
        <v>2053352</v>
      </c>
      <c r="W133" s="2783">
        <v>1726618</v>
      </c>
      <c r="X133" s="2783">
        <v>1745341</v>
      </c>
      <c r="Y133" s="2783">
        <v>2052012</v>
      </c>
      <c r="Z133" s="2783">
        <v>1650440</v>
      </c>
      <c r="AA133" s="2783">
        <v>1818102</v>
      </c>
      <c r="AB133" s="2783">
        <v>1664701</v>
      </c>
      <c r="AC133" s="2783">
        <v>1071434</v>
      </c>
      <c r="AD133" s="2783">
        <v>2114233</v>
      </c>
      <c r="AE133" s="2783">
        <v>1820881</v>
      </c>
      <c r="AF133" s="2783">
        <v>1600525</v>
      </c>
      <c r="AG133" s="2783">
        <v>1711447</v>
      </c>
      <c r="AH133" s="2783">
        <v>2487170</v>
      </c>
      <c r="AI133" s="2783">
        <v>1686385</v>
      </c>
      <c r="AJ133" s="2783">
        <v>1694774</v>
      </c>
      <c r="AK133" s="2783">
        <v>1857692</v>
      </c>
    </row>
    <row r="134" spans="1:37" s="654" customFormat="1" ht="14.1" customHeight="1" x14ac:dyDescent="0.25">
      <c r="A134" s="1298" t="s">
        <v>402</v>
      </c>
      <c r="B134" s="3473" t="s">
        <v>892</v>
      </c>
      <c r="C134" s="2514">
        <f t="shared" si="12"/>
        <v>58186647</v>
      </c>
      <c r="D134" s="774">
        <f t="shared" si="13"/>
        <v>38.769208417811669</v>
      </c>
      <c r="E134" s="2292"/>
      <c r="F134" s="2782">
        <v>1591458</v>
      </c>
      <c r="G134" s="2782">
        <v>1476612</v>
      </c>
      <c r="H134" s="2782">
        <v>1872545</v>
      </c>
      <c r="I134" s="2782">
        <v>1794037</v>
      </c>
      <c r="J134" s="2782">
        <v>1836403</v>
      </c>
      <c r="K134" s="2782">
        <v>1607387</v>
      </c>
      <c r="L134" s="2782">
        <v>1979393</v>
      </c>
      <c r="M134" s="2782">
        <v>1831871</v>
      </c>
      <c r="N134" s="2782">
        <v>1827415</v>
      </c>
      <c r="O134" s="2782">
        <v>2005624</v>
      </c>
      <c r="P134" s="2782">
        <v>1691743</v>
      </c>
      <c r="Q134" s="2782">
        <v>1639369</v>
      </c>
      <c r="R134" s="2782">
        <v>1768433</v>
      </c>
      <c r="S134" s="2782">
        <v>1680567</v>
      </c>
      <c r="T134" s="2782">
        <v>1757381</v>
      </c>
      <c r="U134" s="2782">
        <v>1647210</v>
      </c>
      <c r="V134" s="2782">
        <v>2053381</v>
      </c>
      <c r="W134" s="2782">
        <v>1799415</v>
      </c>
      <c r="X134" s="2782">
        <v>1827018</v>
      </c>
      <c r="Y134" s="2782">
        <v>2150148</v>
      </c>
      <c r="Z134" s="2782">
        <v>1720923</v>
      </c>
      <c r="AA134" s="2782">
        <v>1818131</v>
      </c>
      <c r="AB134" s="2782">
        <v>1735126</v>
      </c>
      <c r="AC134" s="2782">
        <v>1872545</v>
      </c>
      <c r="AD134" s="2782">
        <v>2205029</v>
      </c>
      <c r="AE134" s="2782">
        <v>1820910</v>
      </c>
      <c r="AF134" s="2782">
        <v>1664380</v>
      </c>
      <c r="AG134" s="2782">
        <v>1711476</v>
      </c>
      <c r="AH134" s="2782">
        <v>2487155</v>
      </c>
      <c r="AI134" s="2782">
        <v>1686414</v>
      </c>
      <c r="AJ134" s="2782">
        <v>1769472</v>
      </c>
      <c r="AK134" s="2782">
        <v>1857676</v>
      </c>
    </row>
    <row r="135" spans="1:37" s="654" customFormat="1" ht="14.1" customHeight="1" x14ac:dyDescent="0.25">
      <c r="A135" s="1237" t="s">
        <v>916</v>
      </c>
      <c r="B135" s="3472" t="s">
        <v>868</v>
      </c>
      <c r="C135" s="2514">
        <f t="shared" si="12"/>
        <v>62260043</v>
      </c>
      <c r="D135" s="774">
        <f t="shared" si="13"/>
        <v>41.365442917544406</v>
      </c>
      <c r="E135" s="3422"/>
      <c r="F135" s="2783">
        <v>1728056</v>
      </c>
      <c r="G135" s="2783">
        <v>1561044</v>
      </c>
      <c r="H135" s="2783">
        <v>1992256</v>
      </c>
      <c r="I135" s="2783">
        <v>1941797</v>
      </c>
      <c r="J135" s="2783">
        <v>1987816</v>
      </c>
      <c r="K135" s="2783">
        <v>1702898</v>
      </c>
      <c r="L135" s="2783">
        <v>2120524</v>
      </c>
      <c r="M135" s="2783">
        <v>1975311</v>
      </c>
      <c r="N135" s="2783">
        <v>1991288</v>
      </c>
      <c r="O135" s="2783">
        <v>2139870</v>
      </c>
      <c r="P135" s="2783">
        <v>1833342</v>
      </c>
      <c r="Q135" s="2783">
        <v>1779753</v>
      </c>
      <c r="R135" s="2783">
        <v>1911900</v>
      </c>
      <c r="S135" s="2783">
        <v>1815475</v>
      </c>
      <c r="T135" s="2783">
        <v>1895451</v>
      </c>
      <c r="U135" s="2783">
        <v>1788197</v>
      </c>
      <c r="V135" s="2783">
        <v>2232477</v>
      </c>
      <c r="W135" s="2783">
        <v>1952560</v>
      </c>
      <c r="X135" s="2783">
        <v>1986123</v>
      </c>
      <c r="Y135" s="2783">
        <v>2331409</v>
      </c>
      <c r="Z135" s="2783">
        <v>1865454</v>
      </c>
      <c r="AA135" s="2783">
        <v>1980547</v>
      </c>
      <c r="AB135" s="2783">
        <v>1878798</v>
      </c>
      <c r="AC135" s="2783">
        <v>1186578</v>
      </c>
      <c r="AD135" s="2783">
        <v>2408443</v>
      </c>
      <c r="AE135" s="2783">
        <v>1986487</v>
      </c>
      <c r="AF135" s="2783">
        <v>1815568</v>
      </c>
      <c r="AG135" s="2783">
        <v>1832552</v>
      </c>
      <c r="AH135" s="2783">
        <v>2890121</v>
      </c>
      <c r="AI135" s="2783">
        <v>1825532</v>
      </c>
      <c r="AJ135" s="2783">
        <v>1905184</v>
      </c>
      <c r="AK135" s="2783">
        <v>2017232</v>
      </c>
    </row>
    <row r="136" spans="1:37" s="654" customFormat="1" ht="14.1" customHeight="1" x14ac:dyDescent="0.25">
      <c r="A136" s="3536" t="s">
        <v>913</v>
      </c>
      <c r="B136" s="3473" t="s">
        <v>914</v>
      </c>
      <c r="C136" s="2514">
        <f t="shared" si="12"/>
        <v>68116490</v>
      </c>
      <c r="D136" s="774">
        <f t="shared" si="13"/>
        <v>45.265076845614104</v>
      </c>
      <c r="E136" s="2292"/>
      <c r="F136" s="2782">
        <v>1876918</v>
      </c>
      <c r="G136" s="2782">
        <v>1719462</v>
      </c>
      <c r="H136" s="2782">
        <v>2243616</v>
      </c>
      <c r="I136" s="2782">
        <v>2136251</v>
      </c>
      <c r="J136" s="2782">
        <v>2252477</v>
      </c>
      <c r="K136" s="2782">
        <v>1877605</v>
      </c>
      <c r="L136" s="2782">
        <v>2332626</v>
      </c>
      <c r="M136" s="2782">
        <v>2159219</v>
      </c>
      <c r="N136" s="2782">
        <v>2133007</v>
      </c>
      <c r="O136" s="2782">
        <v>2394868</v>
      </c>
      <c r="P136" s="2782">
        <v>1994744</v>
      </c>
      <c r="Q136" s="2782">
        <v>1929090</v>
      </c>
      <c r="R136" s="2782">
        <v>2091600</v>
      </c>
      <c r="S136" s="2782">
        <v>1998192</v>
      </c>
      <c r="T136" s="2782">
        <v>2075167</v>
      </c>
      <c r="U136" s="2782">
        <v>1937319</v>
      </c>
      <c r="V136" s="2782">
        <v>2413151</v>
      </c>
      <c r="W136" s="2782">
        <v>2145459</v>
      </c>
      <c r="X136" s="2782">
        <v>2177758</v>
      </c>
      <c r="Y136" s="2782">
        <v>2494287</v>
      </c>
      <c r="Z136" s="2782">
        <v>2033579</v>
      </c>
      <c r="AA136" s="2782">
        <v>2157074</v>
      </c>
      <c r="AB136" s="2782">
        <v>2060888</v>
      </c>
      <c r="AC136" s="2782">
        <v>1381005</v>
      </c>
      <c r="AD136" s="2782">
        <v>2527496</v>
      </c>
      <c r="AE136" s="2782">
        <v>2154999</v>
      </c>
      <c r="AF136" s="2782">
        <v>1948412</v>
      </c>
      <c r="AG136" s="2782">
        <v>2025078</v>
      </c>
      <c r="AH136" s="2782">
        <v>3113445</v>
      </c>
      <c r="AI136" s="2782">
        <v>2042869</v>
      </c>
      <c r="AJ136" s="2782">
        <v>2090210</v>
      </c>
      <c r="AK136" s="2782">
        <v>2198619</v>
      </c>
    </row>
    <row r="137" spans="1:37" s="654" customFormat="1" ht="14.1" customHeight="1" x14ac:dyDescent="0.25">
      <c r="A137" s="1246" t="s">
        <v>1818</v>
      </c>
      <c r="B137" s="2790" t="s">
        <v>1819</v>
      </c>
      <c r="C137" s="3549"/>
      <c r="D137" s="3551"/>
      <c r="E137" s="3552"/>
      <c r="F137" s="3466">
        <v>639520</v>
      </c>
      <c r="G137" s="3466">
        <v>616091</v>
      </c>
      <c r="H137" s="3529" t="s">
        <v>446</v>
      </c>
      <c r="I137" s="3466">
        <v>650053</v>
      </c>
      <c r="J137" s="3466">
        <v>695787</v>
      </c>
      <c r="K137" s="3466">
        <v>661521</v>
      </c>
      <c r="L137" s="3466">
        <v>670551</v>
      </c>
      <c r="M137" s="3529" t="s">
        <v>446</v>
      </c>
      <c r="N137" s="3466">
        <v>662537</v>
      </c>
      <c r="O137" s="3466">
        <v>736324</v>
      </c>
      <c r="P137" s="3466">
        <v>679082</v>
      </c>
      <c r="Q137" s="3529" t="s">
        <v>446</v>
      </c>
      <c r="R137" s="3466">
        <v>715748</v>
      </c>
      <c r="S137" s="3466">
        <v>616635</v>
      </c>
      <c r="T137" s="3466">
        <v>705678</v>
      </c>
      <c r="U137" s="3529" t="s">
        <v>446</v>
      </c>
      <c r="V137" s="3529" t="s">
        <v>446</v>
      </c>
      <c r="W137" s="3529" t="s">
        <v>446</v>
      </c>
      <c r="X137" s="3466">
        <v>720422</v>
      </c>
      <c r="Y137" s="3466">
        <v>807874</v>
      </c>
      <c r="Z137" s="3466">
        <v>703196</v>
      </c>
      <c r="AA137" s="3529" t="s">
        <v>446</v>
      </c>
      <c r="AB137" s="3529" t="s">
        <v>446</v>
      </c>
      <c r="AC137" s="3466">
        <v>217758</v>
      </c>
      <c r="AD137" s="3529" t="s">
        <v>446</v>
      </c>
      <c r="AE137" s="3466">
        <v>737899</v>
      </c>
      <c r="AF137" s="3466">
        <v>705406</v>
      </c>
      <c r="AG137" s="3529" t="s">
        <v>446</v>
      </c>
      <c r="AH137" s="3466">
        <v>774487</v>
      </c>
      <c r="AI137" s="3466">
        <v>629174</v>
      </c>
      <c r="AJ137" s="3466">
        <v>712886</v>
      </c>
      <c r="AK137" s="3466">
        <v>771011</v>
      </c>
    </row>
    <row r="138" spans="1:37" s="654" customFormat="1" ht="14.1" customHeight="1" x14ac:dyDescent="0.25">
      <c r="A138" s="3537" t="s">
        <v>2756</v>
      </c>
      <c r="B138" s="3548" t="s">
        <v>2757</v>
      </c>
      <c r="C138" s="3500"/>
      <c r="D138" s="3551"/>
      <c r="E138" s="2683"/>
      <c r="F138" s="3545" t="s">
        <v>2758</v>
      </c>
      <c r="G138" s="3545" t="s">
        <v>445</v>
      </c>
      <c r="H138" s="3545" t="s">
        <v>445</v>
      </c>
      <c r="I138" s="3545" t="s">
        <v>445</v>
      </c>
      <c r="J138" s="3545" t="s">
        <v>445</v>
      </c>
      <c r="K138" s="3545" t="s">
        <v>445</v>
      </c>
      <c r="L138" s="3545" t="s">
        <v>445</v>
      </c>
      <c r="M138" s="3545" t="s">
        <v>445</v>
      </c>
      <c r="N138" s="3545" t="s">
        <v>445</v>
      </c>
      <c r="O138" s="3545" t="s">
        <v>445</v>
      </c>
      <c r="P138" s="3545" t="s">
        <v>445</v>
      </c>
      <c r="Q138" s="3545" t="s">
        <v>445</v>
      </c>
      <c r="R138" s="3545" t="s">
        <v>445</v>
      </c>
      <c r="S138" s="3545" t="s">
        <v>445</v>
      </c>
      <c r="T138" s="3545" t="s">
        <v>445</v>
      </c>
      <c r="U138" s="3545" t="s">
        <v>445</v>
      </c>
      <c r="V138" s="3545" t="s">
        <v>445</v>
      </c>
      <c r="W138" s="3545" t="s">
        <v>445</v>
      </c>
      <c r="X138" s="3545" t="s">
        <v>445</v>
      </c>
      <c r="Y138" s="3545" t="s">
        <v>445</v>
      </c>
      <c r="Z138" s="3545" t="s">
        <v>445</v>
      </c>
      <c r="AA138" s="3545" t="s">
        <v>445</v>
      </c>
      <c r="AB138" s="3545" t="s">
        <v>445</v>
      </c>
      <c r="AC138" s="3545" t="s">
        <v>445</v>
      </c>
      <c r="AD138" s="3545" t="s">
        <v>445</v>
      </c>
      <c r="AE138" s="3545" t="s">
        <v>445</v>
      </c>
      <c r="AF138" s="3545" t="s">
        <v>445</v>
      </c>
      <c r="AG138" s="3545" t="s">
        <v>445</v>
      </c>
      <c r="AH138" s="3545" t="s">
        <v>445</v>
      </c>
      <c r="AI138" s="3545" t="s">
        <v>445</v>
      </c>
      <c r="AJ138" s="3545" t="s">
        <v>445</v>
      </c>
      <c r="AK138" s="3545" t="s">
        <v>445</v>
      </c>
    </row>
    <row r="139" spans="1:37" s="654" customFormat="1" ht="14.1" customHeight="1" x14ac:dyDescent="0.25">
      <c r="A139" s="3467" t="s">
        <v>2355</v>
      </c>
      <c r="B139" s="3468" t="s">
        <v>1819</v>
      </c>
      <c r="C139" s="2781"/>
      <c r="D139" s="3530"/>
      <c r="E139" s="3455">
        <f>6857.1+0+0+0+0+0+3476.6+6865.04+7388.1+5676.47</f>
        <v>30263.310000000005</v>
      </c>
      <c r="F139" s="3466">
        <v>807345</v>
      </c>
      <c r="G139" s="3466">
        <v>789112</v>
      </c>
      <c r="H139" s="3466">
        <v>742843</v>
      </c>
      <c r="I139" s="3466">
        <v>880608</v>
      </c>
      <c r="J139" s="3529" t="s">
        <v>2755</v>
      </c>
      <c r="K139" s="3529" t="s">
        <v>2755</v>
      </c>
      <c r="L139" s="3529" t="s">
        <v>2755</v>
      </c>
      <c r="M139" s="3529" t="s">
        <v>2755</v>
      </c>
      <c r="N139" s="3529" t="s">
        <v>2755</v>
      </c>
      <c r="O139" s="3529" t="s">
        <v>2755</v>
      </c>
      <c r="P139" s="3529" t="s">
        <v>2755</v>
      </c>
      <c r="Q139" s="3529" t="s">
        <v>2755</v>
      </c>
      <c r="R139" s="3529" t="s">
        <v>2755</v>
      </c>
      <c r="S139" s="3466">
        <v>777474</v>
      </c>
      <c r="T139" s="3529" t="s">
        <v>2755</v>
      </c>
      <c r="U139" s="3529" t="s">
        <v>2755</v>
      </c>
      <c r="V139" s="3529" t="s">
        <v>2755</v>
      </c>
      <c r="W139" s="3529" t="s">
        <v>2755</v>
      </c>
      <c r="X139" s="3529" t="s">
        <v>2755</v>
      </c>
      <c r="Y139" s="3529" t="s">
        <v>2755</v>
      </c>
      <c r="Z139" s="3529" t="s">
        <v>2755</v>
      </c>
      <c r="AA139" s="3529" t="s">
        <v>2755</v>
      </c>
      <c r="AB139" s="3529" t="s">
        <v>2755</v>
      </c>
      <c r="AC139" s="3529" t="s">
        <v>2755</v>
      </c>
      <c r="AD139" s="3529" t="s">
        <v>2755</v>
      </c>
      <c r="AE139" s="3529" t="s">
        <v>2755</v>
      </c>
      <c r="AF139" s="3529" t="s">
        <v>2755</v>
      </c>
      <c r="AG139" s="3529" t="s">
        <v>2755</v>
      </c>
      <c r="AH139" s="3529" t="s">
        <v>2755</v>
      </c>
      <c r="AI139" s="3529" t="s">
        <v>2755</v>
      </c>
      <c r="AJ139" s="3529" t="s">
        <v>2755</v>
      </c>
      <c r="AK139" s="3529" t="s">
        <v>2755</v>
      </c>
    </row>
    <row r="140" spans="1:37" s="654" customFormat="1" ht="14.1" customHeight="1" x14ac:dyDescent="0.25">
      <c r="A140" s="3546" t="s">
        <v>2753</v>
      </c>
      <c r="B140" s="3547"/>
      <c r="C140" s="3550"/>
      <c r="D140" s="1911"/>
      <c r="E140" s="2695">
        <f>2.33+1.64+3.19+3.4+3.76+2.84+3.27+3.11+3.09+3.56+2.51</f>
        <v>32.699999999999996</v>
      </c>
      <c r="F140" s="1910">
        <v>883292</v>
      </c>
      <c r="G140" s="1910">
        <v>929851</v>
      </c>
      <c r="H140" s="1910">
        <v>1043358</v>
      </c>
      <c r="I140" s="1910">
        <v>941698</v>
      </c>
      <c r="J140" s="1910">
        <v>987444</v>
      </c>
      <c r="K140" s="1910">
        <v>921981</v>
      </c>
      <c r="L140" s="1910">
        <v>1096439</v>
      </c>
      <c r="M140" s="1910">
        <v>996943</v>
      </c>
      <c r="N140" s="1910">
        <v>1012822</v>
      </c>
      <c r="O140" s="1910">
        <v>1238891</v>
      </c>
      <c r="P140" s="1910">
        <v>928047</v>
      </c>
      <c r="Q140" s="1912" t="s">
        <v>2754</v>
      </c>
      <c r="R140" s="1912" t="s">
        <v>445</v>
      </c>
      <c r="S140" s="1912" t="s">
        <v>445</v>
      </c>
      <c r="T140" s="1912" t="s">
        <v>445</v>
      </c>
      <c r="U140" s="1912" t="s">
        <v>445</v>
      </c>
      <c r="V140" s="1912" t="s">
        <v>445</v>
      </c>
      <c r="W140" s="1912" t="s">
        <v>445</v>
      </c>
      <c r="X140" s="1912" t="s">
        <v>445</v>
      </c>
      <c r="Y140" s="1912" t="s">
        <v>445</v>
      </c>
      <c r="Z140" s="1912" t="s">
        <v>445</v>
      </c>
      <c r="AA140" s="1912" t="s">
        <v>445</v>
      </c>
      <c r="AB140" s="1912" t="s">
        <v>445</v>
      </c>
      <c r="AC140" s="1912" t="s">
        <v>445</v>
      </c>
      <c r="AD140" s="1912" t="s">
        <v>445</v>
      </c>
      <c r="AE140" s="1912" t="s">
        <v>445</v>
      </c>
      <c r="AF140" s="1912" t="s">
        <v>445</v>
      </c>
      <c r="AG140" s="1912" t="s">
        <v>445</v>
      </c>
      <c r="AH140" s="1912" t="s">
        <v>445</v>
      </c>
      <c r="AI140" s="1912" t="s">
        <v>445</v>
      </c>
      <c r="AJ140" s="1912" t="s">
        <v>445</v>
      </c>
      <c r="AK140" s="1912" t="s">
        <v>445</v>
      </c>
    </row>
    <row r="142" spans="1:37" ht="15.75" x14ac:dyDescent="0.2">
      <c r="A142" s="3523" t="s">
        <v>1685</v>
      </c>
      <c r="B142" s="140" t="s">
        <v>2739</v>
      </c>
    </row>
    <row r="143" spans="1:37" ht="15.75" x14ac:dyDescent="0.2">
      <c r="A143" s="3523" t="s">
        <v>1685</v>
      </c>
      <c r="B143" s="141" t="s">
        <v>2740</v>
      </c>
    </row>
    <row r="144" spans="1:37" ht="15.75" x14ac:dyDescent="0.2">
      <c r="A144" s="3523" t="s">
        <v>1685</v>
      </c>
      <c r="B144" s="1330" t="s">
        <v>2747</v>
      </c>
    </row>
  </sheetData>
  <sortState ref="A50:AK66">
    <sortCondition ref="D50:D66"/>
  </sortState>
  <mergeCells count="19">
    <mergeCell ref="A2:B2"/>
    <mergeCell ref="A9:B9"/>
    <mergeCell ref="A10:B10"/>
    <mergeCell ref="G7:H7"/>
    <mergeCell ref="K7:L7"/>
    <mergeCell ref="A6:B8"/>
    <mergeCell ref="D6:E6"/>
    <mergeCell ref="W7:AB7"/>
    <mergeCell ref="AD7:AE7"/>
    <mergeCell ref="AJ7:AK7"/>
    <mergeCell ref="U1:AK4"/>
    <mergeCell ref="G6:H6"/>
    <mergeCell ref="K6:L6"/>
    <mergeCell ref="M6:O6"/>
    <mergeCell ref="P6:V6"/>
    <mergeCell ref="W6:AB6"/>
    <mergeCell ref="AD6:AE6"/>
    <mergeCell ref="AJ6:AK6"/>
    <mergeCell ref="P7:V7"/>
  </mergeCells>
  <conditionalFormatting sqref="AA12:AA140">
    <cfRule type="cellIs" dxfId="31" priority="23" stopIfTrue="1" operator="equal">
      <formula>MIN(AA$12:AA$140)</formula>
    </cfRule>
    <cfRule type="colorScale" priority="73">
      <colorScale>
        <cfvo type="min"/>
        <cfvo type="percentile" val="50"/>
        <cfvo type="percentile" val="90"/>
        <color rgb="FF63BE7B"/>
        <color rgb="FFFFEB84"/>
        <color rgb="FFF8696B"/>
      </colorScale>
    </cfRule>
  </conditionalFormatting>
  <conditionalFormatting sqref="J12:J140">
    <cfRule type="cellIs" dxfId="30" priority="6" stopIfTrue="1" operator="equal">
      <formula>MIN(J$12:J$140)</formula>
    </cfRule>
    <cfRule type="colorScale" priority="69">
      <colorScale>
        <cfvo type="min"/>
        <cfvo type="percentile" val="50"/>
        <cfvo type="percentile" val="90"/>
        <color rgb="FF63BE7B"/>
        <color rgb="FFFFEB84"/>
        <color rgb="FFF8696B"/>
      </colorScale>
    </cfRule>
  </conditionalFormatting>
  <conditionalFormatting sqref="Y12:Y140">
    <cfRule type="cellIs" dxfId="29" priority="21" stopIfTrue="1" operator="equal">
      <formula>MIN(Y$12:Y$140)</formula>
    </cfRule>
    <cfRule type="colorScale" priority="66">
      <colorScale>
        <cfvo type="min"/>
        <cfvo type="percentile" val="50"/>
        <cfvo type="percentile" val="90"/>
        <color rgb="FF63BE7B"/>
        <color rgb="FFFFEB84"/>
        <color rgb="FFF8696B"/>
      </colorScale>
    </cfRule>
  </conditionalFormatting>
  <conditionalFormatting sqref="F12:F140">
    <cfRule type="cellIs" dxfId="28" priority="65" operator="equal">
      <formula>MIN(F$12:F$140)</formula>
    </cfRule>
    <cfRule type="colorScale" priority="70">
      <colorScale>
        <cfvo type="min"/>
        <cfvo type="percentile" val="50"/>
        <cfvo type="percentile" val="90"/>
        <color rgb="FF63BE7B"/>
        <color rgb="FFFFEB84"/>
        <color rgb="FFF8696B"/>
      </colorScale>
    </cfRule>
  </conditionalFormatting>
  <conditionalFormatting sqref="G12:G140">
    <cfRule type="colorScale" priority="64">
      <colorScale>
        <cfvo type="min"/>
        <cfvo type="percentile" val="50"/>
        <cfvo type="percentile" val="90"/>
        <color rgb="FF63BE7B"/>
        <color rgb="FFFFEB84"/>
        <color rgb="FFF8696B"/>
      </colorScale>
    </cfRule>
  </conditionalFormatting>
  <conditionalFormatting sqref="H12:H140">
    <cfRule type="cellIs" dxfId="27" priority="61" operator="equal">
      <formula>MIN(H$12:H$140)</formula>
    </cfRule>
    <cfRule type="colorScale" priority="63">
      <colorScale>
        <cfvo type="min"/>
        <cfvo type="percentile" val="50"/>
        <cfvo type="percentile" val="90"/>
        <color rgb="FF63BE7B"/>
        <color rgb="FFFFEB84"/>
        <color rgb="FFF8696B"/>
      </colorScale>
    </cfRule>
  </conditionalFormatting>
  <conditionalFormatting sqref="G12:G1048576">
    <cfRule type="cellIs" dxfId="26" priority="62" operator="equal">
      <formula>MIN(G$12:G$140)</formula>
    </cfRule>
  </conditionalFormatting>
  <conditionalFormatting sqref="I12:I140">
    <cfRule type="cellIs" dxfId="25" priority="5" operator="equal">
      <formula>MIN(I$12:I$140)</formula>
    </cfRule>
    <cfRule type="colorScale" priority="59">
      <colorScale>
        <cfvo type="min"/>
        <cfvo type="percentile" val="50"/>
        <cfvo type="percentile" val="90"/>
        <color rgb="FF63BE7B"/>
        <color rgb="FFFFEB84"/>
        <color rgb="FFF8696B"/>
      </colorScale>
    </cfRule>
  </conditionalFormatting>
  <conditionalFormatting sqref="K12:K140">
    <cfRule type="cellIs" dxfId="24" priority="7" operator="equal">
      <formula>MIN(K$12:K$140)</formula>
    </cfRule>
    <cfRule type="colorScale" priority="58">
      <colorScale>
        <cfvo type="min"/>
        <cfvo type="percentile" val="50"/>
        <cfvo type="percentile" val="90"/>
        <color rgb="FF63BE7B"/>
        <color rgb="FFFFEB84"/>
        <color rgb="FFF8696B"/>
      </colorScale>
    </cfRule>
  </conditionalFormatting>
  <conditionalFormatting sqref="L12:L140">
    <cfRule type="cellIs" dxfId="23" priority="8" operator="equal">
      <formula>MIN(L$12:L$140)</formula>
    </cfRule>
    <cfRule type="colorScale" priority="57">
      <colorScale>
        <cfvo type="min"/>
        <cfvo type="percentile" val="50"/>
        <cfvo type="percentile" val="90"/>
        <color rgb="FF63BE7B"/>
        <color rgb="FFFFEB84"/>
        <color rgb="FFF8696B"/>
      </colorScale>
    </cfRule>
  </conditionalFormatting>
  <conditionalFormatting sqref="M12:M140">
    <cfRule type="cellIs" dxfId="22" priority="9" operator="equal">
      <formula>MIN(M$12:M$140)</formula>
    </cfRule>
    <cfRule type="colorScale" priority="56">
      <colorScale>
        <cfvo type="min"/>
        <cfvo type="percentile" val="50"/>
        <cfvo type="percentile" val="90"/>
        <color rgb="FF63BE7B"/>
        <color rgb="FFFFEB84"/>
        <color rgb="FFF8696B"/>
      </colorScale>
    </cfRule>
  </conditionalFormatting>
  <conditionalFormatting sqref="N12:N140">
    <cfRule type="cellIs" dxfId="21" priority="10" operator="equal">
      <formula>MIN(N$12:N$140)</formula>
    </cfRule>
    <cfRule type="colorScale" priority="55">
      <colorScale>
        <cfvo type="min"/>
        <cfvo type="percentile" val="50"/>
        <cfvo type="percentile" val="90"/>
        <color rgb="FF63BE7B"/>
        <color rgb="FFFFEB84"/>
        <color rgb="FFF8696B"/>
      </colorScale>
    </cfRule>
  </conditionalFormatting>
  <conditionalFormatting sqref="O12:O140">
    <cfRule type="cellIs" dxfId="20" priority="11" operator="equal">
      <formula>MIN(O$12:O$140)</formula>
    </cfRule>
    <cfRule type="colorScale" priority="54">
      <colorScale>
        <cfvo type="min"/>
        <cfvo type="percentile" val="50"/>
        <cfvo type="percentile" val="90"/>
        <color rgb="FF63BE7B"/>
        <color rgb="FFFFEB84"/>
        <color rgb="FFF8696B"/>
      </colorScale>
    </cfRule>
  </conditionalFormatting>
  <conditionalFormatting sqref="P12:P140">
    <cfRule type="cellIs" dxfId="19" priority="12" operator="equal">
      <formula>MIN(P$12:P$140)</formula>
    </cfRule>
    <cfRule type="colorScale" priority="53">
      <colorScale>
        <cfvo type="min"/>
        <cfvo type="percentile" val="50"/>
        <cfvo type="percentile" val="90"/>
        <color rgb="FF63BE7B"/>
        <color rgb="FFFFEB84"/>
        <color rgb="FFF8696B"/>
      </colorScale>
    </cfRule>
  </conditionalFormatting>
  <conditionalFormatting sqref="Q12:Q140">
    <cfRule type="cellIs" dxfId="18" priority="13" operator="equal">
      <formula>MIN(Q$12:Q$140)</formula>
    </cfRule>
    <cfRule type="colorScale" priority="52">
      <colorScale>
        <cfvo type="min"/>
        <cfvo type="percentile" val="50"/>
        <cfvo type="percentile" val="90"/>
        <color rgb="FF63BE7B"/>
        <color rgb="FFFFEB84"/>
        <color rgb="FFF8696B"/>
      </colorScale>
    </cfRule>
  </conditionalFormatting>
  <conditionalFormatting sqref="R12:R140">
    <cfRule type="cellIs" dxfId="17" priority="14" operator="equal">
      <formula>MIN(R$12:R$140)</formula>
    </cfRule>
    <cfRule type="colorScale" priority="51">
      <colorScale>
        <cfvo type="min"/>
        <cfvo type="percentile" val="50"/>
        <cfvo type="percentile" val="90"/>
        <color rgb="FF63BE7B"/>
        <color rgb="FFFFEB84"/>
        <color rgb="FFF8696B"/>
      </colorScale>
    </cfRule>
  </conditionalFormatting>
  <conditionalFormatting sqref="S12:S140">
    <cfRule type="cellIs" dxfId="16" priority="15" operator="equal">
      <formula>MIN(S$12:S$140)</formula>
    </cfRule>
    <cfRule type="colorScale" priority="50">
      <colorScale>
        <cfvo type="min"/>
        <cfvo type="percentile" val="50"/>
        <cfvo type="percentile" val="90"/>
        <color rgb="FF63BE7B"/>
        <color rgb="FFFFEB84"/>
        <color rgb="FFF8696B"/>
      </colorScale>
    </cfRule>
  </conditionalFormatting>
  <conditionalFormatting sqref="T12:T140">
    <cfRule type="cellIs" dxfId="15" priority="16" operator="equal">
      <formula>MIN(T$12:T$140)</formula>
    </cfRule>
    <cfRule type="colorScale" priority="49">
      <colorScale>
        <cfvo type="min"/>
        <cfvo type="percentile" val="50"/>
        <cfvo type="percentile" val="90"/>
        <color rgb="FF63BE7B"/>
        <color rgb="FFFFEB84"/>
        <color rgb="FFF8696B"/>
      </colorScale>
    </cfRule>
  </conditionalFormatting>
  <conditionalFormatting sqref="U12:U140">
    <cfRule type="cellIs" dxfId="14" priority="17" operator="equal">
      <formula>MIN(U$12:U$140)</formula>
    </cfRule>
    <cfRule type="colorScale" priority="48">
      <colorScale>
        <cfvo type="min"/>
        <cfvo type="percentile" val="50"/>
        <cfvo type="percentile" val="90"/>
        <color rgb="FF63BE7B"/>
        <color rgb="FFFFEB84"/>
        <color rgb="FFF8696B"/>
      </colorScale>
    </cfRule>
  </conditionalFormatting>
  <conditionalFormatting sqref="V12:V140">
    <cfRule type="cellIs" dxfId="13" priority="18" operator="equal">
      <formula>MIN(V$12:V$140)</formula>
    </cfRule>
    <cfRule type="colorScale" priority="47">
      <colorScale>
        <cfvo type="min"/>
        <cfvo type="percentile" val="50"/>
        <cfvo type="percentile" val="90"/>
        <color rgb="FF63BE7B"/>
        <color rgb="FFFFEB84"/>
        <color rgb="FFF8696B"/>
      </colorScale>
    </cfRule>
  </conditionalFormatting>
  <conditionalFormatting sqref="W12:W140">
    <cfRule type="cellIs" dxfId="12" priority="19" operator="equal">
      <formula>MIN(W$12:W$140)</formula>
    </cfRule>
    <cfRule type="colorScale" priority="46">
      <colorScale>
        <cfvo type="min"/>
        <cfvo type="percentile" val="50"/>
        <cfvo type="percentile" val="90"/>
        <color rgb="FF63BE7B"/>
        <color rgb="FFFFEB84"/>
        <color rgb="FFF8696B"/>
      </colorScale>
    </cfRule>
  </conditionalFormatting>
  <conditionalFormatting sqref="X12:X140">
    <cfRule type="cellIs" dxfId="11" priority="20" operator="equal">
      <formula>MIN(X$12:X$140)</formula>
    </cfRule>
    <cfRule type="colorScale" priority="45">
      <colorScale>
        <cfvo type="min"/>
        <cfvo type="percentile" val="50"/>
        <cfvo type="percentile" val="90"/>
        <color rgb="FF63BE7B"/>
        <color rgb="FFFFEB84"/>
        <color rgb="FFF8696B"/>
      </colorScale>
    </cfRule>
  </conditionalFormatting>
  <conditionalFormatting sqref="Z12:Z140">
    <cfRule type="cellIs" dxfId="10" priority="22" operator="equal">
      <formula>MIN(Z$12:Z$140)</formula>
    </cfRule>
    <cfRule type="colorScale" priority="44">
      <colorScale>
        <cfvo type="min"/>
        <cfvo type="percentile" val="50"/>
        <cfvo type="percentile" val="90"/>
        <color rgb="FF63BE7B"/>
        <color rgb="FFFFEB84"/>
        <color rgb="FFF8696B"/>
      </colorScale>
    </cfRule>
  </conditionalFormatting>
  <conditionalFormatting sqref="AB12:AB140">
    <cfRule type="cellIs" dxfId="9" priority="24" operator="equal">
      <formula>MIN(AB$12:AB$140)</formula>
    </cfRule>
    <cfRule type="colorScale" priority="43">
      <colorScale>
        <cfvo type="min"/>
        <cfvo type="percentile" val="50"/>
        <cfvo type="percentile" val="90"/>
        <color rgb="FF63BE7B"/>
        <color rgb="FFFFEB84"/>
        <color rgb="FFF8696B"/>
      </colorScale>
    </cfRule>
  </conditionalFormatting>
  <conditionalFormatting sqref="AC12:AC140">
    <cfRule type="cellIs" dxfId="8" priority="25" operator="equal">
      <formula>MIN(AC$12:AC$140)</formula>
    </cfRule>
    <cfRule type="colorScale" priority="42">
      <colorScale>
        <cfvo type="min"/>
        <cfvo type="percentile" val="50"/>
        <cfvo type="percentile" val="90"/>
        <color rgb="FF63BE7B"/>
        <color rgb="FFFFEB84"/>
        <color rgb="FFF8696B"/>
      </colorScale>
    </cfRule>
  </conditionalFormatting>
  <conditionalFormatting sqref="AD12:AD140">
    <cfRule type="cellIs" dxfId="7" priority="26" operator="equal">
      <formula>MIN(AD$12:AD$140)</formula>
    </cfRule>
    <cfRule type="colorScale" priority="41">
      <colorScale>
        <cfvo type="min"/>
        <cfvo type="percentile" val="50"/>
        <cfvo type="percentile" val="90"/>
        <color rgb="FF63BE7B"/>
        <color rgb="FFFFEB84"/>
        <color rgb="FFF8696B"/>
      </colorScale>
    </cfRule>
  </conditionalFormatting>
  <conditionalFormatting sqref="AE12:AE140">
    <cfRule type="cellIs" dxfId="6" priority="27" operator="equal">
      <formula>MIN(AE$12:AE$140)</formula>
    </cfRule>
    <cfRule type="colorScale" priority="40">
      <colorScale>
        <cfvo type="min"/>
        <cfvo type="percentile" val="50"/>
        <cfvo type="percentile" val="90"/>
        <color rgb="FF63BE7B"/>
        <color rgb="FFFFEB84"/>
        <color rgb="FFF8696B"/>
      </colorScale>
    </cfRule>
  </conditionalFormatting>
  <conditionalFormatting sqref="AF12:AF140">
    <cfRule type="cellIs" dxfId="5" priority="28" operator="equal">
      <formula>MIN(AF$12:AF$140)</formula>
    </cfRule>
    <cfRule type="colorScale" priority="39">
      <colorScale>
        <cfvo type="min"/>
        <cfvo type="percentile" val="50"/>
        <cfvo type="percentile" val="90"/>
        <color rgb="FF63BE7B"/>
        <color rgb="FFFFEB84"/>
        <color rgb="FFF8696B"/>
      </colorScale>
    </cfRule>
  </conditionalFormatting>
  <conditionalFormatting sqref="AG12:AG140">
    <cfRule type="cellIs" dxfId="4" priority="29" operator="equal">
      <formula>MIN(AG$12:AG$140)</formula>
    </cfRule>
    <cfRule type="colorScale" priority="38">
      <colorScale>
        <cfvo type="min"/>
        <cfvo type="percentile" val="50"/>
        <cfvo type="percentile" val="90"/>
        <color rgb="FF63BE7B"/>
        <color rgb="FFFFEB84"/>
        <color rgb="FFF8696B"/>
      </colorScale>
    </cfRule>
  </conditionalFormatting>
  <conditionalFormatting sqref="AH12:AH140">
    <cfRule type="cellIs" dxfId="3" priority="30" operator="equal">
      <formula>MIN(AH$12:AH$140)</formula>
    </cfRule>
    <cfRule type="colorScale" priority="37">
      <colorScale>
        <cfvo type="min"/>
        <cfvo type="percentile" val="50"/>
        <cfvo type="percentile" val="90"/>
        <color rgb="FF63BE7B"/>
        <color rgb="FFFFEB84"/>
        <color rgb="FFF8696B"/>
      </colorScale>
    </cfRule>
  </conditionalFormatting>
  <conditionalFormatting sqref="AI12:AI140">
    <cfRule type="cellIs" dxfId="2" priority="31" operator="equal">
      <formula>MIN(AI$12:AI$140)</formula>
    </cfRule>
    <cfRule type="colorScale" priority="36">
      <colorScale>
        <cfvo type="min"/>
        <cfvo type="percentile" val="50"/>
        <cfvo type="percentile" val="90"/>
        <color rgb="FF63BE7B"/>
        <color rgb="FFFFEB84"/>
        <color rgb="FFF8696B"/>
      </colorScale>
    </cfRule>
  </conditionalFormatting>
  <conditionalFormatting sqref="AJ12:AJ140">
    <cfRule type="cellIs" dxfId="1" priority="32" operator="equal">
      <formula>MIN(AJ$12:AJ$140)</formula>
    </cfRule>
    <cfRule type="colorScale" priority="35">
      <colorScale>
        <cfvo type="min"/>
        <cfvo type="percentile" val="50"/>
        <cfvo type="percentile" val="90"/>
        <color rgb="FF63BE7B"/>
        <color rgb="FFFFEB84"/>
        <color rgb="FFF8696B"/>
      </colorScale>
    </cfRule>
  </conditionalFormatting>
  <conditionalFormatting sqref="AK12:AK140">
    <cfRule type="cellIs" dxfId="0" priority="33" operator="equal">
      <formula>MIN(AK$12:AK$140)</formula>
    </cfRule>
    <cfRule type="colorScale" priority="34">
      <colorScale>
        <cfvo type="min"/>
        <cfvo type="percentile" val="50"/>
        <cfvo type="percentile" val="90"/>
        <color rgb="FF63BE7B"/>
        <color rgb="FFFFEB84"/>
        <color rgb="FFF8696B"/>
      </colorScale>
    </cfRule>
  </conditionalFormatting>
  <conditionalFormatting sqref="D140:E140">
    <cfRule type="dataBar" priority="4">
      <dataBar>
        <cfvo type="min"/>
        <cfvo type="max"/>
        <color rgb="FFFF555A"/>
      </dataBar>
      <extLst>
        <ext xmlns:x14="http://schemas.microsoft.com/office/spreadsheetml/2009/9/main" uri="{B025F937-C7B1-47D3-B67F-A62EFF666E3E}">
          <x14:id>{CA9F6EBB-37B6-48C7-9F8F-AA0FE2E1276D}</x14:id>
        </ext>
      </extLst>
    </cfRule>
  </conditionalFormatting>
  <conditionalFormatting sqref="D12:D139">
    <cfRule type="dataBar" priority="2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{05C09B21-F1F0-4EA5-AF2C-557F0C7E9179}</x14:id>
        </ext>
      </extLst>
    </cfRule>
  </conditionalFormatting>
  <conditionalFormatting sqref="E12:E139">
    <cfRule type="dataBar" priority="1">
      <dataBar>
        <cfvo type="min"/>
        <cfvo type="max"/>
        <color rgb="FFFF555A"/>
      </dataBar>
      <extLst>
        <ext xmlns:x14="http://schemas.microsoft.com/office/spreadsheetml/2009/9/main" uri="{B025F937-C7B1-47D3-B67F-A62EFF666E3E}">
          <x14:id>{5B97AFA2-E6E0-4813-B466-4A68C5A7305C}</x14:id>
        </ext>
      </extLst>
    </cfRule>
  </conditionalFormatting>
  <hyperlinks>
    <hyperlink ref="A10" r:id="rId1"/>
    <hyperlink ref="F7" r:id="rId2"/>
    <hyperlink ref="A3" r:id="rId3"/>
    <hyperlink ref="A80" r:id="rId4"/>
    <hyperlink ref="A79" r:id="rId5"/>
    <hyperlink ref="A139" r:id="rId6" display="LSTM v1"/>
    <hyperlink ref="A39" r:id="rId7" display="MCM 0.83 (2015)"/>
    <hyperlink ref="A22" r:id="rId8" display="PAQ8PX_v75 -8 Matt Mahoney et al."/>
    <hyperlink ref="A20" r:id="rId9" display="EMMA 0.1.23"/>
    <hyperlink ref="A98" r:id="rId10"/>
    <hyperlink ref="A116" r:id="rId11"/>
    <hyperlink ref="A126" r:id="rId12"/>
    <hyperlink ref="A18" r:id="rId13"/>
    <hyperlink ref="A21" r:id="rId14"/>
    <hyperlink ref="A14" r:id="rId15"/>
    <hyperlink ref="A77" r:id="rId16"/>
    <hyperlink ref="A12" r:id="rId17"/>
    <hyperlink ref="A86" r:id="rId18" display="RAZOR Archiver 1.00 (2017) Christian Martelock"/>
    <hyperlink ref="A99" r:id="rId19"/>
    <hyperlink ref="A35" r:id="rId20" display="FP8 v3 -7 (2012) Jan Ondrus"/>
    <hyperlink ref="A34" r:id="rId21" display="PAQ 7 (24.12.2005) -5           "/>
    <hyperlink ref="A36" r:id="rId22" display="Durilca 0.5 (Hutter) -o13 -m700 -t1"/>
    <hyperlink ref="A30" r:id="rId23" display="PAQAR 4 (2004) Option -7e 'PAQ crew'"/>
    <hyperlink ref="A26" r:id="rId24" display="PAQ 8d (2006) -7 (std dict.)  'PAQ crew'"/>
    <hyperlink ref="A25" r:id="rId25" display="PAQ 8i (std dict.) -7 'PAQ crew'"/>
    <hyperlink ref="A40" r:id="rId26" display="NanoZip 0.09 ('11) Sami Runsas -cO -p6:2GB"/>
    <hyperlink ref="A46" r:id="rId27" display="ASH 0.7 /m2200 /s255 /o32 E. Shelwien"/>
    <hyperlink ref="A48" r:id="rId28" display="PAQ 4 EmilCont Duritium Berto Destasio"/>
    <hyperlink ref="A53" r:id="rId29" display="Compressia 1.0b (max) 15MB engl. Solid"/>
    <hyperlink ref="A57" r:id="rId30" display="SLIM 0.23d (2004) -o16 -m800 S. Voskoboynikov"/>
    <hyperlink ref="A64" r:id="rId31"/>
    <hyperlink ref="A68" r:id="rId32" display="PPMonstr ver J (06) -o16 -m800 D. Shkarin"/>
    <hyperlink ref="A82" r:id="rId33" display="UHBC 1.0 ('03) -b128m -m3 Uwe Herklotz"/>
    <hyperlink ref="A84" r:id="rId34" display="YBS 0.03f -m16m Vadim Yoockin"/>
    <hyperlink ref="A85" r:id="rId35" display="ABC 2.4 (2003) -c Jürgen Abel"/>
    <hyperlink ref="A87" r:id="rId36" display="CTW 0.1 -n16M -f16M Frank Willems"/>
    <hyperlink ref="A93" r:id="rId37" display="UHARC 0.6b -m3 -mm+ -md+ 32 MB"/>
    <hyperlink ref="A94" r:id="rId38" display="SBC 0.970r3  -m3 -b63 -os Sami Makinen"/>
    <hyperlink ref="A100" r:id="rId39" display="ICE-OWS (2002) max Raphaël Mounier"/>
    <hyperlink ref="A101" r:id="rId40" display="Squeez 5.1 - 5.63 (32MB ultra) auto"/>
    <hyperlink ref="A102" r:id="rId41" display="BioArchiver 1.9 hyper, automatic"/>
    <hyperlink ref="A106" r:id="rId42" display="CTXf 0.75 pre-b1 (2003) -me -b L. Nikita"/>
    <hyperlink ref="A108" r:id="rId43" display="ZZIP 0.36 -56m -mx ('02) Damien Debin"/>
    <hyperlink ref="A122" r:id="rId44" display="HA 0.999b (1995) a21r Harri Hirvola"/>
    <hyperlink ref="A129" r:id="rId45" display="XTREME 1.06 ('99) -m0 -s -t8 B. Sabin"/>
    <hyperlink ref="A130" r:id="rId46" display="LHA 2.55 - 2.67 (1992) lh5, 16kb huff"/>
    <hyperlink ref="A132" r:id="rId47"/>
    <hyperlink ref="A133" r:id="rId48"/>
    <hyperlink ref="A134" r:id="rId49"/>
    <hyperlink ref="A135" r:id="rId50" display="Microsoft Compress (1992)"/>
    <hyperlink ref="A113" r:id="rId51" display="BSSC 0.95α  -b16383as Sergeo Sizikov"/>
    <hyperlink ref="A62" r:id="rId52" display="OCAMYD 1.65 Final -s0 -m9"/>
    <hyperlink ref="A125" r:id="rId53" display="BALZ 1.20 mode cx (2015) Ilya Muravyov"/>
    <hyperlink ref="A76" r:id="rId54" display="BCM 0.12 (2010) -b100 Ilia Muraviev"/>
    <hyperlink ref="A114" r:id="rId55" display="BRED 3.0 (1997) -M16 -m729 David Wheeler"/>
    <hyperlink ref="A121" r:id="rId56" display="BMGVC Xezz"/>
    <hyperlink ref="A115" r:id="rId57" display="COMPROX_SA (09.2011) Zhang Li"/>
    <hyperlink ref="A127" r:id="rId58"/>
    <hyperlink ref="A119" r:id="rId59"/>
    <hyperlink ref="A111" r:id="rId60" display="BMZFP 1.1 Xezz"/>
    <hyperlink ref="A123" r:id="rId61" display="ZSTD 1.1.4 -22 --ultra (2017) Yann Collet"/>
    <hyperlink ref="A78" r:id="rId62" display="RINGS 2.5 -s -r -m8 (2015) Francesco Nania"/>
    <hyperlink ref="A54" r:id="rId63" display="CM4 (2014) Nauful"/>
    <hyperlink ref="A128" r:id="rId64"/>
    <hyperlink ref="A88" r:id="rId65"/>
    <hyperlink ref="A120" r:id="rId66" display="LZHAM 1.1 α7r1 -m4 -d29 -e -x R. Geldreich, Jr."/>
    <hyperlink ref="A118" r:id="rId67" display="CSC 3.2 final (2011) -m3 -d512 Fu Siyuan"/>
    <hyperlink ref="A91" r:id="rId68" display="Distance Coder 0.98β -b16383el Edgar Binder"/>
    <hyperlink ref="A97" r:id="rId69" display="BWCM c128 (2013) Nauful"/>
    <hyperlink ref="A59" r:id="rId70" display="OCAMYD 1.66 RC 6 -s0 -m9"/>
    <hyperlink ref="A117" r:id="rId71" display="Radyx 0.91 -ma=2 -r -md=256m -mds=64k"/>
    <hyperlink ref="A70" r:id="rId72" display="NanoZip 0.09 ('11) Sami Runsas -cO -p6:2GB"/>
    <hyperlink ref="A65" r:id="rId73"/>
    <hyperlink ref="A112" r:id="rId74" display="RKC 1.02 Malcolm Taylor"/>
    <hyperlink ref="A49" r:id="rId75" display="RKC 1.02 Malcolm Taylor"/>
    <hyperlink ref="A75" r:id="rId76"/>
    <hyperlink ref="A109" r:id="rId77" display="PPMX 0.08 (2012) Ilia Muraviev"/>
    <hyperlink ref="A83" r:id="rId78" display="PPMZ 0.81 (2004) Charles Bloom"/>
    <hyperlink ref="A56" r:id="rId79"/>
    <hyperlink ref="A52" r:id="rId80"/>
    <hyperlink ref="A71" r:id="rId81" display="RAZOR Archiver 1.00 (2017) Christian Martelock"/>
  </hyperlinks>
  <pageMargins left="0.7" right="0.7" top="0.75" bottom="0.75" header="0.3" footer="0.3"/>
  <pageSetup paperSize="9" orientation="portrait" r:id="rId82"/>
  <legacyDrawing r:id="rId83"/>
  <picture r:id="rId84"/>
  <webPublishItems count="1">
    <webPublishItem id="15928" divId="SqueezeChart2015web_15928" sourceType="range" sourceRef="A5:XFD64" destinationFile="D:\FILES 1989 - 2015\Files 2015\bibles-benchmark.htm"/>
  </webPublishItem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CA9F6EBB-37B6-48C7-9F8F-AA0FE2E1276D}">
            <x14:dataBar minLength="0" maxLength="100" border="1" negativeBarBorderColorSameAsPositive="0">
              <x14:cfvo type="autoMin"/>
              <x14:cfvo type="autoMax"/>
              <x14:borderColor rgb="FFFF555A"/>
              <x14:negativeFillColor rgb="FFFF0000"/>
              <x14:negativeBorderColor rgb="FFFF0000"/>
              <x14:axisColor rgb="FF000000"/>
            </x14:dataBar>
          </x14:cfRule>
          <xm:sqref>D140:E140</xm:sqref>
        </x14:conditionalFormatting>
        <x14:conditionalFormatting xmlns:xm="http://schemas.microsoft.com/office/excel/2006/main">
          <x14:cfRule type="dataBar" id="{05C09B21-F1F0-4EA5-AF2C-557F0C7E9179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D12:D139</xm:sqref>
        </x14:conditionalFormatting>
        <x14:conditionalFormatting xmlns:xm="http://schemas.microsoft.com/office/excel/2006/main">
          <x14:cfRule type="dataBar" id="{5B97AFA2-E6E0-4813-B466-4A68C5A7305C}">
            <x14:dataBar minLength="0" maxLength="100" border="1" negativeBarBorderColorSameAsPositive="0">
              <x14:cfvo type="autoMin"/>
              <x14:cfvo type="autoMax"/>
              <x14:borderColor rgb="FFFF555A"/>
              <x14:negativeFillColor rgb="FFFF0000"/>
              <x14:negativeBorderColor rgb="FFFF0000"/>
              <x14:axisColor rgb="FF000000"/>
            </x14:dataBar>
          </x14:cfRule>
          <xm:sqref>E12:E139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">
    <tabColor rgb="FF0000FF"/>
  </sheetPr>
  <dimension ref="A1:D74"/>
  <sheetViews>
    <sheetView showGridLines="0" workbookViewId="0">
      <selection activeCell="B25" sqref="B25"/>
    </sheetView>
  </sheetViews>
  <sheetFormatPr baseColWidth="10" defaultColWidth="9.140625" defaultRowHeight="12.75" x14ac:dyDescent="0.2"/>
  <cols>
    <col min="1" max="1" width="24.7109375" style="138" customWidth="1"/>
    <col min="2" max="2" width="55.28515625" style="138" customWidth="1"/>
    <col min="3" max="3" width="18.7109375" style="138" customWidth="1"/>
    <col min="4" max="4" width="80.7109375" style="138" customWidth="1"/>
    <col min="5" max="16384" width="9.140625" style="138"/>
  </cols>
  <sheetData>
    <row r="1" spans="1:4" x14ac:dyDescent="0.2">
      <c r="A1" s="4934" t="s">
        <v>1610</v>
      </c>
      <c r="B1" s="4934"/>
      <c r="C1" s="4934"/>
      <c r="D1" s="4934"/>
    </row>
    <row r="2" spans="1:4" x14ac:dyDescent="0.2">
      <c r="A2" s="4934"/>
      <c r="B2" s="4934"/>
      <c r="C2" s="4934"/>
      <c r="D2" s="4934"/>
    </row>
    <row r="3" spans="1:4" x14ac:dyDescent="0.2">
      <c r="A3" s="4934"/>
      <c r="B3" s="4934"/>
      <c r="C3" s="4934"/>
      <c r="D3" s="4934"/>
    </row>
    <row r="4" spans="1:4" x14ac:dyDescent="0.2">
      <c r="A4" s="4934"/>
      <c r="B4" s="4934"/>
      <c r="C4" s="4934"/>
      <c r="D4" s="4934"/>
    </row>
    <row r="5" spans="1:4" x14ac:dyDescent="0.2">
      <c r="A5" s="4934"/>
      <c r="B5" s="4934"/>
      <c r="C5" s="4934"/>
      <c r="D5" s="4934"/>
    </row>
    <row r="6" spans="1:4" ht="60" x14ac:dyDescent="0.8">
      <c r="A6" s="1300"/>
      <c r="B6" s="4935" t="s">
        <v>1628</v>
      </c>
      <c r="C6" s="4936"/>
      <c r="D6" s="4936"/>
    </row>
    <row r="7" spans="1:4" ht="15.75" x14ac:dyDescent="0.25">
      <c r="A7" s="1274"/>
      <c r="B7" s="1275"/>
      <c r="C7" s="1275"/>
      <c r="D7" s="1275"/>
    </row>
    <row r="8" spans="1:4" ht="20.25" customHeight="1" x14ac:dyDescent="0.25">
      <c r="A8" s="1276" t="s">
        <v>1522</v>
      </c>
      <c r="B8" s="1201" t="s">
        <v>1518</v>
      </c>
      <c r="C8" s="1275"/>
      <c r="D8" s="1275"/>
    </row>
    <row r="9" spans="1:4" ht="20.25" customHeight="1" x14ac:dyDescent="0.25">
      <c r="A9" s="1274"/>
      <c r="B9" s="1202" t="s">
        <v>1519</v>
      </c>
      <c r="C9" s="1275"/>
      <c r="D9" s="1275"/>
    </row>
    <row r="10" spans="1:4" ht="20.25" customHeight="1" x14ac:dyDescent="0.25">
      <c r="A10" s="1274"/>
      <c r="B10" s="1203" t="s">
        <v>1520</v>
      </c>
      <c r="C10" s="1275"/>
      <c r="D10" s="1275"/>
    </row>
    <row r="11" spans="1:4" ht="20.25" customHeight="1" x14ac:dyDescent="0.25">
      <c r="A11" s="1274"/>
      <c r="B11" s="1204" t="s">
        <v>1521</v>
      </c>
      <c r="C11" s="1275"/>
      <c r="D11" s="1275"/>
    </row>
    <row r="12" spans="1:4" ht="20.25" customHeight="1" x14ac:dyDescent="0.25">
      <c r="A12" s="1274"/>
      <c r="B12" s="1205"/>
      <c r="C12" s="1275"/>
      <c r="D12" s="1275"/>
    </row>
    <row r="13" spans="1:4" ht="20.25" customHeight="1" x14ac:dyDescent="0.25">
      <c r="A13" s="1276" t="s">
        <v>1523</v>
      </c>
      <c r="B13" s="1277" t="s">
        <v>1526</v>
      </c>
      <c r="C13" s="1275"/>
      <c r="D13" s="1275"/>
    </row>
    <row r="14" spans="1:4" ht="20.25" customHeight="1" x14ac:dyDescent="0.25">
      <c r="A14" s="1276" t="s">
        <v>1524</v>
      </c>
      <c r="B14" s="1278" t="s">
        <v>1525</v>
      </c>
      <c r="C14" s="1275"/>
      <c r="D14" s="1275"/>
    </row>
    <row r="15" spans="1:4" ht="20.25" customHeight="1" x14ac:dyDescent="0.25">
      <c r="A15" s="1274"/>
      <c r="B15" s="1279" t="s">
        <v>1527</v>
      </c>
      <c r="C15" s="1275"/>
      <c r="D15" s="1275"/>
    </row>
    <row r="16" spans="1:4" ht="20.25" customHeight="1" x14ac:dyDescent="0.25">
      <c r="A16" s="1274"/>
      <c r="B16" s="1205"/>
      <c r="C16" s="1275"/>
      <c r="D16" s="1275"/>
    </row>
    <row r="17" spans="1:4" ht="18" x14ac:dyDescent="0.25">
      <c r="A17" s="1276" t="s">
        <v>27</v>
      </c>
      <c r="B17" s="1276"/>
      <c r="C17" s="1280"/>
      <c r="D17" s="1280"/>
    </row>
    <row r="18" spans="1:4" ht="18" x14ac:dyDescent="0.25">
      <c r="A18" s="1276"/>
      <c r="B18" s="1276"/>
      <c r="C18" s="1280"/>
      <c r="D18" s="1276"/>
    </row>
    <row r="19" spans="1:4" ht="18" x14ac:dyDescent="0.25">
      <c r="A19" s="1281" t="s">
        <v>615</v>
      </c>
      <c r="B19" s="1282" t="s">
        <v>1209</v>
      </c>
      <c r="C19" s="1280"/>
      <c r="D19" s="1280"/>
    </row>
    <row r="20" spans="1:4" ht="17.25" customHeight="1" x14ac:dyDescent="0.25">
      <c r="B20" s="1275" t="s">
        <v>1182</v>
      </c>
      <c r="C20" s="1280"/>
      <c r="D20" s="1280"/>
    </row>
    <row r="21" spans="1:4" ht="12.75" customHeight="1" x14ac:dyDescent="0.25">
      <c r="A21" s="1283"/>
      <c r="B21" s="1283"/>
      <c r="C21" s="1283"/>
      <c r="D21" s="1283"/>
    </row>
    <row r="22" spans="1:4" ht="12.75" customHeight="1" x14ac:dyDescent="0.25">
      <c r="A22" s="1280"/>
      <c r="B22" s="1280"/>
      <c r="C22" s="1280"/>
      <c r="D22" s="1280"/>
    </row>
    <row r="23" spans="1:4" ht="18" x14ac:dyDescent="0.25">
      <c r="A23" s="1281" t="s">
        <v>1598</v>
      </c>
      <c r="B23" s="1282" t="s">
        <v>1210</v>
      </c>
    </row>
    <row r="24" spans="1:4" ht="15.75" x14ac:dyDescent="0.25">
      <c r="B24" s="1275" t="s">
        <v>1704</v>
      </c>
    </row>
    <row r="25" spans="1:4" x14ac:dyDescent="0.2">
      <c r="A25" s="1284"/>
      <c r="B25" s="1284"/>
      <c r="C25" s="1284"/>
      <c r="D25" s="1284"/>
    </row>
    <row r="27" spans="1:4" ht="18" x14ac:dyDescent="0.25">
      <c r="A27" s="1281" t="s">
        <v>1180</v>
      </c>
      <c r="B27" s="1282" t="s">
        <v>1211</v>
      </c>
    </row>
    <row r="28" spans="1:4" ht="15.75" x14ac:dyDescent="0.25">
      <c r="B28" s="477" t="s">
        <v>1181</v>
      </c>
    </row>
    <row r="29" spans="1:4" x14ac:dyDescent="0.2">
      <c r="A29" s="1284"/>
      <c r="B29" s="1284"/>
      <c r="C29" s="1284"/>
      <c r="D29" s="1284"/>
    </row>
    <row r="31" spans="1:4" ht="18" x14ac:dyDescent="0.25">
      <c r="A31" s="1281" t="s">
        <v>26</v>
      </c>
      <c r="B31" s="1282" t="s">
        <v>1212</v>
      </c>
    </row>
    <row r="32" spans="1:4" ht="15.75" x14ac:dyDescent="0.25">
      <c r="B32" s="477" t="s">
        <v>648</v>
      </c>
    </row>
    <row r="33" spans="1:4" ht="15.75" x14ac:dyDescent="0.25">
      <c r="B33" s="1275" t="s">
        <v>1695</v>
      </c>
    </row>
    <row r="34" spans="1:4" ht="15.75" x14ac:dyDescent="0.25">
      <c r="B34" s="1275" t="s">
        <v>1696</v>
      </c>
    </row>
    <row r="35" spans="1:4" x14ac:dyDescent="0.2">
      <c r="A35" s="1284"/>
      <c r="B35" s="1284"/>
      <c r="C35" s="1284"/>
      <c r="D35" s="1284"/>
    </row>
    <row r="37" spans="1:4" ht="18" x14ac:dyDescent="0.25">
      <c r="A37" s="1281" t="s">
        <v>46</v>
      </c>
      <c r="B37" s="1282" t="s">
        <v>1213</v>
      </c>
    </row>
    <row r="38" spans="1:4" ht="15.75" x14ac:dyDescent="0.25">
      <c r="B38" s="1275" t="s">
        <v>38</v>
      </c>
    </row>
    <row r="39" spans="1:4" ht="15.75" x14ac:dyDescent="0.25">
      <c r="B39" s="1275" t="s">
        <v>39</v>
      </c>
    </row>
    <row r="40" spans="1:4" ht="15.75" x14ac:dyDescent="0.25">
      <c r="B40" s="1275" t="s">
        <v>1700</v>
      </c>
    </row>
    <row r="41" spans="1:4" ht="15.75" x14ac:dyDescent="0.25">
      <c r="B41" s="1275" t="s">
        <v>1701</v>
      </c>
    </row>
    <row r="42" spans="1:4" ht="15.75" x14ac:dyDescent="0.25">
      <c r="B42" s="1275" t="s">
        <v>1702</v>
      </c>
    </row>
    <row r="43" spans="1:4" ht="15.75" x14ac:dyDescent="0.25">
      <c r="B43" s="1275" t="s">
        <v>1703</v>
      </c>
    </row>
    <row r="44" spans="1:4" x14ac:dyDescent="0.2">
      <c r="A44" s="1284"/>
      <c r="B44" s="1284"/>
      <c r="C44" s="1284"/>
      <c r="D44" s="1284"/>
    </row>
    <row r="46" spans="1:4" ht="18" x14ac:dyDescent="0.25">
      <c r="A46" s="1281" t="s">
        <v>47</v>
      </c>
      <c r="B46" s="1282" t="s">
        <v>1214</v>
      </c>
    </row>
    <row r="47" spans="1:4" ht="15.75" x14ac:dyDescent="0.25">
      <c r="B47" s="1285" t="s">
        <v>676</v>
      </c>
    </row>
    <row r="48" spans="1:4" ht="15.75" x14ac:dyDescent="0.25">
      <c r="B48" s="1285" t="s">
        <v>649</v>
      </c>
    </row>
    <row r="49" spans="1:4" x14ac:dyDescent="0.2">
      <c r="A49" s="1284"/>
      <c r="B49" s="1284"/>
      <c r="C49" s="1284"/>
      <c r="D49" s="1284"/>
    </row>
    <row r="51" spans="1:4" ht="18" x14ac:dyDescent="0.25">
      <c r="A51" s="1281" t="s">
        <v>650</v>
      </c>
      <c r="B51" s="1282" t="s">
        <v>1215</v>
      </c>
    </row>
    <row r="52" spans="1:4" ht="15.75" x14ac:dyDescent="0.25">
      <c r="B52" s="477" t="s">
        <v>651</v>
      </c>
    </row>
    <row r="53" spans="1:4" ht="15.75" x14ac:dyDescent="0.25">
      <c r="B53" s="1275" t="s">
        <v>1699</v>
      </c>
    </row>
    <row r="54" spans="1:4" ht="15.75" x14ac:dyDescent="0.25">
      <c r="B54" s="1275" t="s">
        <v>1698</v>
      </c>
    </row>
    <row r="55" spans="1:4" x14ac:dyDescent="0.2">
      <c r="A55" s="1284"/>
      <c r="B55" s="1284"/>
      <c r="C55" s="1284"/>
      <c r="D55" s="1284"/>
    </row>
    <row r="57" spans="1:4" ht="18" x14ac:dyDescent="0.25">
      <c r="A57" s="1281" t="s">
        <v>48</v>
      </c>
      <c r="B57" s="1282" t="s">
        <v>1216</v>
      </c>
    </row>
    <row r="58" spans="1:4" ht="15.75" x14ac:dyDescent="0.25">
      <c r="B58" s="477" t="s">
        <v>653</v>
      </c>
    </row>
    <row r="59" spans="1:4" ht="15.75" x14ac:dyDescent="0.25">
      <c r="B59" s="1275" t="s">
        <v>1697</v>
      </c>
    </row>
    <row r="60" spans="1:4" x14ac:dyDescent="0.2">
      <c r="A60" s="1284"/>
      <c r="B60" s="1284"/>
      <c r="C60" s="1284"/>
      <c r="D60" s="1284"/>
    </row>
    <row r="62" spans="1:4" ht="18" x14ac:dyDescent="0.25">
      <c r="A62" s="1281" t="s">
        <v>616</v>
      </c>
      <c r="B62" s="1282" t="s">
        <v>1217</v>
      </c>
      <c r="C62" s="1282"/>
    </row>
    <row r="63" spans="1:4" ht="15.75" x14ac:dyDescent="0.25">
      <c r="B63" s="477" t="s">
        <v>652</v>
      </c>
    </row>
    <row r="65" spans="2:2" ht="15.75" x14ac:dyDescent="0.25">
      <c r="B65" s="1285" t="s">
        <v>28</v>
      </c>
    </row>
    <row r="66" spans="2:2" ht="15.75" x14ac:dyDescent="0.25">
      <c r="B66" s="1285" t="s">
        <v>29</v>
      </c>
    </row>
    <row r="67" spans="2:2" ht="15.75" x14ac:dyDescent="0.25">
      <c r="B67" s="1285" t="s">
        <v>30</v>
      </c>
    </row>
    <row r="68" spans="2:2" ht="15.75" x14ac:dyDescent="0.25">
      <c r="B68" s="1285" t="s">
        <v>31</v>
      </c>
    </row>
    <row r="69" spans="2:2" ht="15.75" x14ac:dyDescent="0.25">
      <c r="B69" s="1285" t="s">
        <v>32</v>
      </c>
    </row>
    <row r="70" spans="2:2" ht="15.75" x14ac:dyDescent="0.25">
      <c r="B70" s="1285" t="s">
        <v>33</v>
      </c>
    </row>
    <row r="71" spans="2:2" ht="15.75" x14ac:dyDescent="0.25">
      <c r="B71" s="1285" t="s">
        <v>34</v>
      </c>
    </row>
    <row r="72" spans="2:2" ht="15.75" x14ac:dyDescent="0.25">
      <c r="B72" s="1285" t="s">
        <v>35</v>
      </c>
    </row>
    <row r="73" spans="2:2" ht="15.75" x14ac:dyDescent="0.25">
      <c r="B73" s="1285" t="s">
        <v>36</v>
      </c>
    </row>
    <row r="74" spans="2:2" ht="15.75" x14ac:dyDescent="0.25">
      <c r="B74" s="1285" t="s">
        <v>37</v>
      </c>
    </row>
  </sheetData>
  <sortState ref="B54:D56">
    <sortCondition ref="C54:C56"/>
  </sortState>
  <mergeCells count="2">
    <mergeCell ref="A1:D5"/>
    <mergeCell ref="B6:D6"/>
  </mergeCells>
  <conditionalFormatting sqref="B13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hyperlinks>
    <hyperlink ref="B19" r:id="rId1"/>
    <hyperlink ref="B23" r:id="rId2"/>
    <hyperlink ref="B27" r:id="rId3"/>
    <hyperlink ref="B31" r:id="rId4"/>
    <hyperlink ref="B37" r:id="rId5"/>
    <hyperlink ref="B46" r:id="rId6"/>
    <hyperlink ref="B51" r:id="rId7"/>
    <hyperlink ref="B57" r:id="rId8"/>
    <hyperlink ref="B62" r:id="rId9"/>
  </hyperlinks>
  <pageMargins left="0.7" right="0.7" top="0.75" bottom="0.75" header="0.3" footer="0.3"/>
  <pageSetup paperSize="9" orientation="portrait" r:id="rId10"/>
  <picture r:id="rId1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">
    <tabColor rgb="FF002060"/>
  </sheetPr>
  <dimension ref="A2:N31"/>
  <sheetViews>
    <sheetView topLeftCell="A5" workbookViewId="0">
      <selection activeCell="N13" sqref="N13"/>
    </sheetView>
  </sheetViews>
  <sheetFormatPr baseColWidth="10" defaultRowHeight="15" x14ac:dyDescent="0.25"/>
  <sheetData>
    <row r="2" spans="1:14" x14ac:dyDescent="0.25">
      <c r="C2" s="4937" t="s">
        <v>1609</v>
      </c>
      <c r="D2" s="4938"/>
      <c r="E2" s="4938"/>
      <c r="F2" s="4938"/>
      <c r="G2" s="4938"/>
      <c r="H2" s="4938"/>
      <c r="I2" s="4938"/>
      <c r="J2" s="4938"/>
      <c r="K2" s="4938"/>
      <c r="L2" s="4938"/>
      <c r="M2" s="4939"/>
      <c r="N2" s="4939"/>
    </row>
    <row r="3" spans="1:14" x14ac:dyDescent="0.25">
      <c r="C3" s="4938"/>
      <c r="D3" s="4938"/>
      <c r="E3" s="4938"/>
      <c r="F3" s="4938"/>
      <c r="G3" s="4938"/>
      <c r="H3" s="4938"/>
      <c r="I3" s="4938"/>
      <c r="J3" s="4938"/>
      <c r="K3" s="4938"/>
      <c r="L3" s="4938"/>
      <c r="M3" s="4939"/>
      <c r="N3" s="4939"/>
    </row>
    <row r="4" spans="1:14" x14ac:dyDescent="0.25">
      <c r="C4" s="4940"/>
      <c r="D4" s="4940"/>
      <c r="E4" s="4940"/>
      <c r="F4" s="4940"/>
      <c r="G4" s="4940"/>
      <c r="H4" s="4940"/>
      <c r="I4" s="4940"/>
      <c r="J4" s="4940"/>
      <c r="K4" s="4940"/>
      <c r="L4" s="4940"/>
      <c r="M4" s="4939"/>
      <c r="N4" s="4939"/>
    </row>
    <row r="6" spans="1:14" x14ac:dyDescent="0.25">
      <c r="A6" s="255"/>
      <c r="B6" s="255"/>
      <c r="C6" s="255"/>
      <c r="D6" s="4939" t="s">
        <v>1549</v>
      </c>
      <c r="E6" s="4939"/>
      <c r="F6" s="4939"/>
      <c r="G6" s="4939"/>
      <c r="H6" s="4939"/>
      <c r="I6" s="4939"/>
      <c r="J6" s="4939"/>
      <c r="K6" s="4939"/>
      <c r="L6" s="4939"/>
      <c r="M6" s="4939"/>
    </row>
    <row r="7" spans="1:14" x14ac:dyDescent="0.25">
      <c r="A7" s="255"/>
      <c r="B7" s="255"/>
      <c r="C7" s="255"/>
      <c r="D7" s="255"/>
      <c r="E7" s="255"/>
      <c r="F7" s="255"/>
      <c r="G7" s="255"/>
      <c r="H7" s="255"/>
      <c r="I7" s="255"/>
      <c r="J7" s="255"/>
      <c r="K7" s="255"/>
      <c r="L7" s="255"/>
      <c r="M7" s="255"/>
    </row>
    <row r="8" spans="1:14" x14ac:dyDescent="0.25">
      <c r="A8" s="255"/>
      <c r="B8" s="255" t="s">
        <v>1551</v>
      </c>
      <c r="C8" s="255"/>
      <c r="D8" s="255"/>
      <c r="E8" s="255"/>
      <c r="F8" s="255"/>
      <c r="G8" s="255"/>
      <c r="H8" s="255"/>
      <c r="I8" s="255"/>
      <c r="J8" s="255"/>
      <c r="K8" s="255"/>
      <c r="L8" s="255"/>
      <c r="M8" s="255"/>
    </row>
    <row r="9" spans="1:14" x14ac:dyDescent="0.25">
      <c r="A9" s="255"/>
      <c r="B9" s="255" t="s">
        <v>1555</v>
      </c>
      <c r="C9" s="255"/>
      <c r="D9" s="255"/>
      <c r="E9" s="255"/>
      <c r="F9" s="255"/>
      <c r="G9" s="255"/>
      <c r="H9" s="255"/>
      <c r="I9" s="255"/>
      <c r="J9" s="255"/>
      <c r="K9" s="255"/>
      <c r="L9" s="255"/>
      <c r="M9" s="255"/>
    </row>
    <row r="10" spans="1:14" x14ac:dyDescent="0.25">
      <c r="A10" s="255"/>
      <c r="B10" s="255"/>
      <c r="C10" s="255"/>
      <c r="D10" s="255"/>
      <c r="E10" s="255"/>
      <c r="F10" s="255"/>
      <c r="G10" s="255"/>
      <c r="H10" s="255"/>
      <c r="I10" s="255"/>
      <c r="J10" s="255"/>
      <c r="K10" s="255"/>
      <c r="L10" s="255"/>
      <c r="M10" s="255"/>
    </row>
    <row r="11" spans="1:14" x14ac:dyDescent="0.25">
      <c r="A11" s="255"/>
      <c r="B11" s="255" t="s">
        <v>1550</v>
      </c>
      <c r="C11" s="255"/>
      <c r="D11" s="255"/>
      <c r="E11" s="255"/>
      <c r="F11" s="255"/>
      <c r="G11" s="255"/>
      <c r="H11" s="255"/>
      <c r="I11" s="255"/>
      <c r="J11" s="255"/>
      <c r="K11" s="255"/>
      <c r="L11" s="255"/>
      <c r="M11" s="255"/>
    </row>
    <row r="12" spans="1:14" x14ac:dyDescent="0.25">
      <c r="A12" s="255"/>
      <c r="B12" s="255" t="s">
        <v>1556</v>
      </c>
      <c r="C12" s="255"/>
      <c r="D12" s="255"/>
      <c r="E12" s="255"/>
      <c r="F12" s="255"/>
      <c r="G12" s="255"/>
      <c r="H12" s="255"/>
      <c r="I12" s="255"/>
      <c r="J12" s="255"/>
      <c r="K12" s="255"/>
      <c r="L12" s="255"/>
      <c r="M12" s="255"/>
    </row>
    <row r="13" spans="1:14" x14ac:dyDescent="0.25">
      <c r="A13" s="255"/>
      <c r="B13" s="255" t="s">
        <v>1557</v>
      </c>
      <c r="C13" s="255"/>
      <c r="D13" s="255"/>
      <c r="E13" s="255"/>
      <c r="F13" s="255"/>
      <c r="G13" s="255"/>
      <c r="H13" s="255"/>
      <c r="I13" s="255"/>
      <c r="J13" s="255"/>
      <c r="K13" s="255"/>
      <c r="L13" s="255"/>
      <c r="M13" s="255"/>
    </row>
    <row r="14" spans="1:14" x14ac:dyDescent="0.25">
      <c r="A14" s="255"/>
      <c r="B14" s="255" t="s">
        <v>1558</v>
      </c>
      <c r="C14" s="255"/>
      <c r="D14" s="255"/>
      <c r="E14" s="255"/>
      <c r="F14" s="255"/>
      <c r="G14" s="255"/>
      <c r="H14" s="255"/>
      <c r="I14" s="255"/>
      <c r="J14" s="255"/>
      <c r="K14" s="255"/>
      <c r="L14" s="255"/>
      <c r="M14" s="255"/>
    </row>
    <row r="15" spans="1:14" x14ac:dyDescent="0.25">
      <c r="A15" s="255"/>
      <c r="B15" s="255" t="s">
        <v>1559</v>
      </c>
      <c r="C15" s="255"/>
      <c r="D15" s="255"/>
      <c r="E15" s="255"/>
      <c r="F15" s="255"/>
      <c r="G15" s="255"/>
      <c r="H15" s="255"/>
      <c r="I15" s="255"/>
      <c r="J15" s="255"/>
      <c r="K15" s="255"/>
      <c r="L15" s="255"/>
      <c r="M15" s="255"/>
    </row>
    <row r="16" spans="1:14" x14ac:dyDescent="0.25">
      <c r="A16" s="255"/>
      <c r="B16" s="255"/>
      <c r="C16" s="255"/>
      <c r="D16" s="255"/>
      <c r="E16" s="255"/>
      <c r="F16" s="255"/>
      <c r="G16" s="255"/>
      <c r="H16" s="255"/>
      <c r="I16" s="255"/>
      <c r="J16" s="255"/>
      <c r="K16" s="255"/>
      <c r="L16" s="255"/>
      <c r="M16" s="255"/>
    </row>
    <row r="17" spans="1:13" x14ac:dyDescent="0.25">
      <c r="A17" s="255"/>
      <c r="B17" s="255" t="s">
        <v>1553</v>
      </c>
      <c r="C17" s="255"/>
      <c r="D17" s="255"/>
      <c r="E17" s="255"/>
      <c r="F17" s="255"/>
      <c r="G17" s="255"/>
      <c r="H17" s="255"/>
      <c r="I17" s="255"/>
      <c r="J17" s="255"/>
      <c r="K17" s="255"/>
      <c r="L17" s="255"/>
      <c r="M17" s="255"/>
    </row>
    <row r="18" spans="1:13" x14ac:dyDescent="0.25">
      <c r="A18" s="255"/>
      <c r="B18" s="255"/>
      <c r="C18" s="255"/>
      <c r="D18" s="255"/>
      <c r="E18" s="255"/>
      <c r="F18" s="255"/>
      <c r="G18" s="255"/>
      <c r="H18" s="255"/>
      <c r="I18" s="255"/>
      <c r="J18" s="255"/>
      <c r="K18" s="255"/>
      <c r="L18" s="255"/>
      <c r="M18" s="255"/>
    </row>
    <row r="19" spans="1:13" x14ac:dyDescent="0.25">
      <c r="A19" s="255"/>
      <c r="B19" s="255" t="s">
        <v>1554</v>
      </c>
      <c r="C19" s="255"/>
      <c r="D19" s="255"/>
      <c r="E19" s="255"/>
      <c r="F19" s="255"/>
      <c r="G19" s="255"/>
      <c r="H19" s="255"/>
      <c r="I19" s="255"/>
      <c r="J19" s="255"/>
      <c r="K19" s="255"/>
      <c r="L19" s="255"/>
      <c r="M19" s="255"/>
    </row>
    <row r="20" spans="1:13" x14ac:dyDescent="0.25">
      <c r="A20" s="255"/>
      <c r="B20" s="255" t="s">
        <v>1560</v>
      </c>
      <c r="C20" s="255"/>
      <c r="D20" s="255"/>
      <c r="E20" s="255"/>
      <c r="F20" s="255"/>
      <c r="G20" s="255"/>
      <c r="H20" s="255"/>
      <c r="I20" s="255"/>
      <c r="J20" s="255"/>
      <c r="K20" s="255"/>
      <c r="L20" s="255"/>
      <c r="M20" s="255"/>
    </row>
    <row r="21" spans="1:13" x14ac:dyDescent="0.25">
      <c r="A21" s="255"/>
      <c r="B21" s="255"/>
      <c r="C21" s="255"/>
      <c r="D21" s="255"/>
      <c r="E21" s="255"/>
      <c r="F21" s="255"/>
      <c r="G21" s="255"/>
      <c r="H21" s="255"/>
      <c r="I21" s="255"/>
      <c r="J21" s="255"/>
      <c r="K21" s="255"/>
      <c r="L21" s="255"/>
      <c r="M21" s="255"/>
    </row>
    <row r="22" spans="1:13" x14ac:dyDescent="0.25">
      <c r="A22" s="255"/>
      <c r="B22" s="255" t="s">
        <v>1562</v>
      </c>
      <c r="C22" s="255"/>
      <c r="D22" s="255"/>
      <c r="E22" s="255"/>
      <c r="F22" s="255"/>
      <c r="G22" s="255"/>
      <c r="H22" s="255"/>
      <c r="I22" s="255"/>
      <c r="J22" s="255"/>
      <c r="K22" s="255"/>
      <c r="L22" s="255"/>
      <c r="M22" s="255"/>
    </row>
    <row r="23" spans="1:13" x14ac:dyDescent="0.25">
      <c r="A23" s="255"/>
      <c r="B23" s="255"/>
      <c r="C23" s="255"/>
      <c r="D23" s="255"/>
      <c r="E23" s="255"/>
      <c r="F23" s="255"/>
      <c r="G23" s="255"/>
      <c r="H23" s="255"/>
      <c r="I23" s="255"/>
      <c r="J23" s="255"/>
      <c r="K23" s="255"/>
      <c r="L23" s="255"/>
      <c r="M23" s="255"/>
    </row>
    <row r="24" spans="1:13" x14ac:dyDescent="0.25">
      <c r="A24" s="255"/>
      <c r="B24" s="255" t="s">
        <v>1561</v>
      </c>
      <c r="C24" s="255"/>
      <c r="D24" s="255"/>
      <c r="E24" s="255"/>
      <c r="F24" s="255"/>
      <c r="G24" s="255"/>
      <c r="H24" s="255"/>
      <c r="I24" s="255"/>
      <c r="J24" s="255"/>
      <c r="K24" s="255"/>
      <c r="L24" s="255"/>
      <c r="M24" s="255"/>
    </row>
    <row r="25" spans="1:13" x14ac:dyDescent="0.25">
      <c r="A25" s="255"/>
      <c r="B25" s="255"/>
      <c r="C25" s="255"/>
      <c r="D25" s="255"/>
      <c r="E25" s="255"/>
      <c r="F25" s="255"/>
      <c r="G25" s="255"/>
      <c r="H25" s="255"/>
      <c r="I25" s="255"/>
      <c r="J25" s="255"/>
      <c r="K25" s="255"/>
      <c r="L25" s="255"/>
      <c r="M25" s="255"/>
    </row>
    <row r="26" spans="1:13" x14ac:dyDescent="0.25">
      <c r="A26" s="255"/>
      <c r="B26" s="255" t="s">
        <v>1552</v>
      </c>
      <c r="C26" s="255"/>
      <c r="D26" s="255"/>
      <c r="E26" s="255"/>
      <c r="F26" s="255"/>
      <c r="G26" s="255"/>
      <c r="H26" s="255"/>
      <c r="I26" s="255"/>
      <c r="J26" s="255"/>
      <c r="K26" s="255"/>
      <c r="L26" s="255"/>
      <c r="M26" s="255"/>
    </row>
    <row r="27" spans="1:13" x14ac:dyDescent="0.25">
      <c r="A27" s="255"/>
      <c r="B27" s="255"/>
      <c r="C27" s="255"/>
      <c r="D27" s="255"/>
      <c r="E27" s="255"/>
      <c r="F27" s="255"/>
      <c r="G27" s="255"/>
      <c r="H27" s="255"/>
      <c r="I27" s="255"/>
      <c r="J27" s="255"/>
      <c r="K27" s="255"/>
      <c r="L27" s="255"/>
      <c r="M27" s="255"/>
    </row>
    <row r="28" spans="1:13" x14ac:dyDescent="0.25">
      <c r="A28" s="255"/>
      <c r="B28" s="255"/>
      <c r="C28" s="255"/>
      <c r="D28" s="255"/>
      <c r="E28" s="255"/>
      <c r="F28" s="255"/>
      <c r="G28" s="255"/>
      <c r="H28" s="255"/>
      <c r="I28" s="255"/>
      <c r="J28" s="255"/>
      <c r="K28" s="255"/>
      <c r="L28" s="255"/>
      <c r="M28" s="255"/>
    </row>
    <row r="29" spans="1:13" x14ac:dyDescent="0.25">
      <c r="A29" s="255"/>
      <c r="B29" s="255"/>
      <c r="C29" s="255"/>
      <c r="D29" s="255"/>
      <c r="E29" s="255"/>
      <c r="F29" s="255"/>
      <c r="G29" s="255"/>
      <c r="H29" s="255"/>
      <c r="I29" s="255"/>
      <c r="J29" s="255"/>
      <c r="K29" s="255"/>
      <c r="L29" s="255"/>
      <c r="M29" s="255"/>
    </row>
    <row r="30" spans="1:13" x14ac:dyDescent="0.25">
      <c r="A30" s="255"/>
      <c r="B30" s="255"/>
      <c r="C30" s="255"/>
      <c r="D30" s="255"/>
      <c r="E30" s="255"/>
      <c r="F30" s="255"/>
      <c r="G30" s="255"/>
      <c r="H30" s="255"/>
      <c r="I30" s="255"/>
      <c r="J30" s="255"/>
      <c r="K30" s="255"/>
      <c r="L30" s="255"/>
      <c r="M30" s="255"/>
    </row>
    <row r="31" spans="1:13" x14ac:dyDescent="0.25">
      <c r="A31" s="255"/>
      <c r="B31" s="255"/>
      <c r="C31" s="255"/>
      <c r="D31" s="255"/>
      <c r="E31" s="255"/>
      <c r="F31" s="255"/>
      <c r="G31" s="255"/>
      <c r="H31" s="255"/>
      <c r="I31" s="255"/>
      <c r="J31" s="255"/>
      <c r="K31" s="255"/>
      <c r="L31" s="255"/>
      <c r="M31" s="255"/>
    </row>
  </sheetData>
  <mergeCells count="2">
    <mergeCell ref="C2:N4"/>
    <mergeCell ref="D6:M6"/>
  </mergeCells>
  <pageMargins left="0.7" right="0.7" top="0.78740157499999996" bottom="0.78740157499999996" header="0.3" footer="0.3"/>
  <pageSetup paperSize="9" orientation="portrait" verticalDpi="3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3">
    <tabColor rgb="FFFF0000"/>
    <pageSetUpPr fitToPage="1"/>
  </sheetPr>
  <dimension ref="A1:WWK636"/>
  <sheetViews>
    <sheetView showGridLines="0" zoomScaleNormal="100" workbookViewId="0">
      <pane xSplit="8" ySplit="12" topLeftCell="I13" activePane="bottomRight" state="frozen"/>
      <selection pane="topRight" activeCell="K1" sqref="K1"/>
      <selection pane="bottomLeft" activeCell="A11" sqref="A11"/>
      <selection pane="bottomRight" activeCell="C520" sqref="C520"/>
    </sheetView>
  </sheetViews>
  <sheetFormatPr baseColWidth="10" defaultColWidth="0" defaultRowHeight="0" customHeight="1" zeroHeight="1" x14ac:dyDescent="0.25"/>
  <cols>
    <col min="1" max="1" width="3.28515625" style="138" customWidth="1"/>
    <col min="2" max="2" width="3.85546875" style="138" customWidth="1"/>
    <col min="3" max="3" width="40.7109375" style="1801" customWidth="1"/>
    <col min="4" max="4" width="3.85546875" style="477" customWidth="1"/>
    <col min="5" max="5" width="4.28515625" style="477" customWidth="1"/>
    <col min="6" max="6" width="10.5703125" style="138" customWidth="1"/>
    <col min="7" max="7" width="8.7109375" style="138" customWidth="1"/>
    <col min="8" max="8" width="8.28515625" style="138" customWidth="1"/>
    <col min="9" max="10" width="12.7109375" style="139" customWidth="1"/>
    <col min="11" max="11" width="13.85546875" style="139" customWidth="1"/>
    <col min="12" max="12" width="14.28515625" style="139" customWidth="1"/>
    <col min="13" max="16" width="12.7109375" style="139" customWidth="1"/>
    <col min="17" max="17" width="14.28515625" style="139" customWidth="1"/>
    <col min="18" max="18" width="8.85546875" style="139" customWidth="1"/>
    <col min="19" max="19" width="6.85546875" style="139" customWidth="1"/>
    <col min="20" max="20" width="7.7109375" style="139" customWidth="1"/>
    <col min="21" max="21" width="4" style="139" customWidth="1"/>
    <col min="22" max="22" width="13" style="138" customWidth="1"/>
    <col min="23" max="23" width="17.7109375" style="138" customWidth="1"/>
    <col min="24" max="24" width="70.5703125" style="138" customWidth="1"/>
    <col min="25" max="25" width="7.7109375" style="138" customWidth="1"/>
    <col min="26" max="26" width="3.28515625" style="138" customWidth="1"/>
    <col min="27" max="250" width="0" style="138" hidden="1"/>
    <col min="251" max="252" width="3.28515625" style="138" hidden="1" customWidth="1"/>
    <col min="253" max="253" width="30.7109375" style="138" hidden="1" customWidth="1"/>
    <col min="254" max="254" width="2.7109375" style="138" hidden="1" customWidth="1"/>
    <col min="255" max="255" width="12.85546875" style="138" hidden="1" customWidth="1"/>
    <col min="256" max="257" width="9.5703125" style="138" hidden="1" customWidth="1"/>
    <col min="258" max="258" width="7.42578125" style="138" hidden="1" customWidth="1"/>
    <col min="259" max="259" width="11.140625" style="138" hidden="1" customWidth="1"/>
    <col min="260" max="260" width="11.28515625" style="138" hidden="1" customWidth="1"/>
    <col min="261" max="261" width="11.7109375" style="138" hidden="1" customWidth="1"/>
    <col min="262" max="262" width="11.28515625" style="138" hidden="1" customWidth="1"/>
    <col min="263" max="263" width="10.7109375" style="138" hidden="1" customWidth="1"/>
    <col min="264" max="264" width="11.28515625" style="138" hidden="1" customWidth="1"/>
    <col min="265" max="265" width="11.42578125" style="138" hidden="1" customWidth="1"/>
    <col min="266" max="266" width="10.42578125" style="138" hidden="1" customWidth="1"/>
    <col min="267" max="267" width="11.28515625" style="138" hidden="1" customWidth="1"/>
    <col min="268" max="268" width="11.42578125" style="138" hidden="1" customWidth="1"/>
    <col min="269" max="269" width="10.7109375" style="138" hidden="1" customWidth="1"/>
    <col min="270" max="270" width="10.28515625" style="138" hidden="1" customWidth="1"/>
    <col min="271" max="271" width="11.5703125" style="138" hidden="1" customWidth="1"/>
    <col min="272" max="273" width="11.42578125" style="138" hidden="1" customWidth="1"/>
    <col min="274" max="274" width="10.85546875" style="138" hidden="1" customWidth="1"/>
    <col min="275" max="275" width="8.7109375" style="138" hidden="1" customWidth="1"/>
    <col min="276" max="276" width="6.28515625" style="138" hidden="1" customWidth="1"/>
    <col min="277" max="277" width="4" style="138" hidden="1" customWidth="1"/>
    <col min="278" max="278" width="8.7109375" style="138" hidden="1" customWidth="1"/>
    <col min="279" max="279" width="13.7109375" style="138" hidden="1" customWidth="1"/>
    <col min="280" max="280" width="20.7109375" style="138" hidden="1" customWidth="1"/>
    <col min="281" max="281" width="9.42578125" style="138" hidden="1" customWidth="1"/>
    <col min="282" max="282" width="3.28515625" style="138" hidden="1" customWidth="1"/>
    <col min="283" max="506" width="0" style="138" hidden="1"/>
    <col min="507" max="508" width="3.28515625" style="138" hidden="1" customWidth="1"/>
    <col min="509" max="509" width="30.7109375" style="138" hidden="1" customWidth="1"/>
    <col min="510" max="510" width="2.7109375" style="138" hidden="1" customWidth="1"/>
    <col min="511" max="511" width="12.85546875" style="138" hidden="1" customWidth="1"/>
    <col min="512" max="513" width="9.5703125" style="138" hidden="1" customWidth="1"/>
    <col min="514" max="514" width="7.42578125" style="138" hidden="1" customWidth="1"/>
    <col min="515" max="515" width="11.140625" style="138" hidden="1" customWidth="1"/>
    <col min="516" max="516" width="11.28515625" style="138" hidden="1" customWidth="1"/>
    <col min="517" max="517" width="11.7109375" style="138" hidden="1" customWidth="1"/>
    <col min="518" max="518" width="11.28515625" style="138" hidden="1" customWidth="1"/>
    <col min="519" max="519" width="10.7109375" style="138" hidden="1" customWidth="1"/>
    <col min="520" max="520" width="11.28515625" style="138" hidden="1" customWidth="1"/>
    <col min="521" max="521" width="11.42578125" style="138" hidden="1" customWidth="1"/>
    <col min="522" max="522" width="10.42578125" style="138" hidden="1" customWidth="1"/>
    <col min="523" max="523" width="11.28515625" style="138" hidden="1" customWidth="1"/>
    <col min="524" max="524" width="11.42578125" style="138" hidden="1" customWidth="1"/>
    <col min="525" max="525" width="10.7109375" style="138" hidden="1" customWidth="1"/>
    <col min="526" max="526" width="10.28515625" style="138" hidden="1" customWidth="1"/>
    <col min="527" max="527" width="11.5703125" style="138" hidden="1" customWidth="1"/>
    <col min="528" max="529" width="11.42578125" style="138" hidden="1" customWidth="1"/>
    <col min="530" max="530" width="10.85546875" style="138" hidden="1" customWidth="1"/>
    <col min="531" max="531" width="8.7109375" style="138" hidden="1" customWidth="1"/>
    <col min="532" max="532" width="6.28515625" style="138" hidden="1" customWidth="1"/>
    <col min="533" max="533" width="4" style="138" hidden="1" customWidth="1"/>
    <col min="534" max="534" width="8.7109375" style="138" hidden="1" customWidth="1"/>
    <col min="535" max="535" width="13.7109375" style="138" hidden="1" customWidth="1"/>
    <col min="536" max="536" width="20.7109375" style="138" hidden="1" customWidth="1"/>
    <col min="537" max="537" width="9.42578125" style="138" hidden="1" customWidth="1"/>
    <col min="538" max="538" width="3.28515625" style="138" hidden="1" customWidth="1"/>
    <col min="539" max="762" width="0" style="138" hidden="1"/>
    <col min="763" max="764" width="3.28515625" style="138" hidden="1" customWidth="1"/>
    <col min="765" max="765" width="30.7109375" style="138" hidden="1" customWidth="1"/>
    <col min="766" max="766" width="2.7109375" style="138" hidden="1" customWidth="1"/>
    <col min="767" max="767" width="12.85546875" style="138" hidden="1" customWidth="1"/>
    <col min="768" max="769" width="9.5703125" style="138" hidden="1" customWidth="1"/>
    <col min="770" max="770" width="7.42578125" style="138" hidden="1" customWidth="1"/>
    <col min="771" max="771" width="11.140625" style="138" hidden="1" customWidth="1"/>
    <col min="772" max="772" width="11.28515625" style="138" hidden="1" customWidth="1"/>
    <col min="773" max="773" width="11.7109375" style="138" hidden="1" customWidth="1"/>
    <col min="774" max="774" width="11.28515625" style="138" hidden="1" customWidth="1"/>
    <col min="775" max="775" width="10.7109375" style="138" hidden="1" customWidth="1"/>
    <col min="776" max="776" width="11.28515625" style="138" hidden="1" customWidth="1"/>
    <col min="777" max="777" width="11.42578125" style="138" hidden="1" customWidth="1"/>
    <col min="778" max="778" width="10.42578125" style="138" hidden="1" customWidth="1"/>
    <col min="779" max="779" width="11.28515625" style="138" hidden="1" customWidth="1"/>
    <col min="780" max="780" width="11.42578125" style="138" hidden="1" customWidth="1"/>
    <col min="781" max="781" width="10.7109375" style="138" hidden="1" customWidth="1"/>
    <col min="782" max="782" width="10.28515625" style="138" hidden="1" customWidth="1"/>
    <col min="783" max="783" width="11.5703125" style="138" hidden="1" customWidth="1"/>
    <col min="784" max="785" width="11.42578125" style="138" hidden="1" customWidth="1"/>
    <col min="786" max="786" width="10.85546875" style="138" hidden="1" customWidth="1"/>
    <col min="787" max="787" width="8.7109375" style="138" hidden="1" customWidth="1"/>
    <col min="788" max="788" width="6.28515625" style="138" hidden="1" customWidth="1"/>
    <col min="789" max="789" width="4" style="138" hidden="1" customWidth="1"/>
    <col min="790" max="790" width="8.7109375" style="138" hidden="1" customWidth="1"/>
    <col min="791" max="791" width="13.7109375" style="138" hidden="1" customWidth="1"/>
    <col min="792" max="792" width="20.7109375" style="138" hidden="1" customWidth="1"/>
    <col min="793" max="793" width="9.42578125" style="138" hidden="1" customWidth="1"/>
    <col min="794" max="794" width="3.28515625" style="138" hidden="1" customWidth="1"/>
    <col min="795" max="1018" width="0" style="138" hidden="1"/>
    <col min="1019" max="1020" width="3.28515625" style="138" hidden="1" customWidth="1"/>
    <col min="1021" max="1021" width="30.7109375" style="138" hidden="1" customWidth="1"/>
    <col min="1022" max="1022" width="2.7109375" style="138" hidden="1" customWidth="1"/>
    <col min="1023" max="1023" width="12.85546875" style="138" hidden="1" customWidth="1"/>
    <col min="1024" max="1025" width="9.5703125" style="138" hidden="1" customWidth="1"/>
    <col min="1026" max="1026" width="7.42578125" style="138" hidden="1" customWidth="1"/>
    <col min="1027" max="1027" width="11.140625" style="138" hidden="1" customWidth="1"/>
    <col min="1028" max="1028" width="11.28515625" style="138" hidden="1" customWidth="1"/>
    <col min="1029" max="1029" width="11.7109375" style="138" hidden="1" customWidth="1"/>
    <col min="1030" max="1030" width="11.28515625" style="138" hidden="1" customWidth="1"/>
    <col min="1031" max="1031" width="10.7109375" style="138" hidden="1" customWidth="1"/>
    <col min="1032" max="1032" width="11.28515625" style="138" hidden="1" customWidth="1"/>
    <col min="1033" max="1033" width="11.42578125" style="138" hidden="1" customWidth="1"/>
    <col min="1034" max="1034" width="10.42578125" style="138" hidden="1" customWidth="1"/>
    <col min="1035" max="1035" width="11.28515625" style="138" hidden="1" customWidth="1"/>
    <col min="1036" max="1036" width="11.42578125" style="138" hidden="1" customWidth="1"/>
    <col min="1037" max="1037" width="10.7109375" style="138" hidden="1" customWidth="1"/>
    <col min="1038" max="1038" width="10.28515625" style="138" hidden="1" customWidth="1"/>
    <col min="1039" max="1039" width="11.5703125" style="138" hidden="1" customWidth="1"/>
    <col min="1040" max="1041" width="11.42578125" style="138" hidden="1" customWidth="1"/>
    <col min="1042" max="1042" width="10.85546875" style="138" hidden="1" customWidth="1"/>
    <col min="1043" max="1043" width="8.7109375" style="138" hidden="1" customWidth="1"/>
    <col min="1044" max="1044" width="6.28515625" style="138" hidden="1" customWidth="1"/>
    <col min="1045" max="1045" width="4" style="138" hidden="1" customWidth="1"/>
    <col min="1046" max="1046" width="8.7109375" style="138" hidden="1" customWidth="1"/>
    <col min="1047" max="1047" width="13.7109375" style="138" hidden="1" customWidth="1"/>
    <col min="1048" max="1048" width="20.7109375" style="138" hidden="1" customWidth="1"/>
    <col min="1049" max="1049" width="9.42578125" style="138" hidden="1" customWidth="1"/>
    <col min="1050" max="1050" width="3.28515625" style="138" hidden="1" customWidth="1"/>
    <col min="1051" max="1274" width="0" style="138" hidden="1"/>
    <col min="1275" max="1276" width="3.28515625" style="138" hidden="1" customWidth="1"/>
    <col min="1277" max="1277" width="30.7109375" style="138" hidden="1" customWidth="1"/>
    <col min="1278" max="1278" width="2.7109375" style="138" hidden="1" customWidth="1"/>
    <col min="1279" max="1279" width="12.85546875" style="138" hidden="1" customWidth="1"/>
    <col min="1280" max="1281" width="9.5703125" style="138" hidden="1" customWidth="1"/>
    <col min="1282" max="1282" width="7.42578125" style="138" hidden="1" customWidth="1"/>
    <col min="1283" max="1283" width="11.140625" style="138" hidden="1" customWidth="1"/>
    <col min="1284" max="1284" width="11.28515625" style="138" hidden="1" customWidth="1"/>
    <col min="1285" max="1285" width="11.7109375" style="138" hidden="1" customWidth="1"/>
    <col min="1286" max="1286" width="11.28515625" style="138" hidden="1" customWidth="1"/>
    <col min="1287" max="1287" width="10.7109375" style="138" hidden="1" customWidth="1"/>
    <col min="1288" max="1288" width="11.28515625" style="138" hidden="1" customWidth="1"/>
    <col min="1289" max="1289" width="11.42578125" style="138" hidden="1" customWidth="1"/>
    <col min="1290" max="1290" width="10.42578125" style="138" hidden="1" customWidth="1"/>
    <col min="1291" max="1291" width="11.28515625" style="138" hidden="1" customWidth="1"/>
    <col min="1292" max="1292" width="11.42578125" style="138" hidden="1" customWidth="1"/>
    <col min="1293" max="1293" width="10.7109375" style="138" hidden="1" customWidth="1"/>
    <col min="1294" max="1294" width="10.28515625" style="138" hidden="1" customWidth="1"/>
    <col min="1295" max="1295" width="11.5703125" style="138" hidden="1" customWidth="1"/>
    <col min="1296" max="1297" width="11.42578125" style="138" hidden="1" customWidth="1"/>
    <col min="1298" max="1298" width="10.85546875" style="138" hidden="1" customWidth="1"/>
    <col min="1299" max="1299" width="8.7109375" style="138" hidden="1" customWidth="1"/>
    <col min="1300" max="1300" width="6.28515625" style="138" hidden="1" customWidth="1"/>
    <col min="1301" max="1301" width="4" style="138" hidden="1" customWidth="1"/>
    <col min="1302" max="1302" width="8.7109375" style="138" hidden="1" customWidth="1"/>
    <col min="1303" max="1303" width="13.7109375" style="138" hidden="1" customWidth="1"/>
    <col min="1304" max="1304" width="20.7109375" style="138" hidden="1" customWidth="1"/>
    <col min="1305" max="1305" width="9.42578125" style="138" hidden="1" customWidth="1"/>
    <col min="1306" max="1306" width="3.28515625" style="138" hidden="1" customWidth="1"/>
    <col min="1307" max="1530" width="0" style="138" hidden="1"/>
    <col min="1531" max="1532" width="3.28515625" style="138" hidden="1" customWidth="1"/>
    <col min="1533" max="1533" width="30.7109375" style="138" hidden="1" customWidth="1"/>
    <col min="1534" max="1534" width="2.7109375" style="138" hidden="1" customWidth="1"/>
    <col min="1535" max="1535" width="12.85546875" style="138" hidden="1" customWidth="1"/>
    <col min="1536" max="1537" width="9.5703125" style="138" hidden="1" customWidth="1"/>
    <col min="1538" max="1538" width="7.42578125" style="138" hidden="1" customWidth="1"/>
    <col min="1539" max="1539" width="11.140625" style="138" hidden="1" customWidth="1"/>
    <col min="1540" max="1540" width="11.28515625" style="138" hidden="1" customWidth="1"/>
    <col min="1541" max="1541" width="11.7109375" style="138" hidden="1" customWidth="1"/>
    <col min="1542" max="1542" width="11.28515625" style="138" hidden="1" customWidth="1"/>
    <col min="1543" max="1543" width="10.7109375" style="138" hidden="1" customWidth="1"/>
    <col min="1544" max="1544" width="11.28515625" style="138" hidden="1" customWidth="1"/>
    <col min="1545" max="1545" width="11.42578125" style="138" hidden="1" customWidth="1"/>
    <col min="1546" max="1546" width="10.42578125" style="138" hidden="1" customWidth="1"/>
    <col min="1547" max="1547" width="11.28515625" style="138" hidden="1" customWidth="1"/>
    <col min="1548" max="1548" width="11.42578125" style="138" hidden="1" customWidth="1"/>
    <col min="1549" max="1549" width="10.7109375" style="138" hidden="1" customWidth="1"/>
    <col min="1550" max="1550" width="10.28515625" style="138" hidden="1" customWidth="1"/>
    <col min="1551" max="1551" width="11.5703125" style="138" hidden="1" customWidth="1"/>
    <col min="1552" max="1553" width="11.42578125" style="138" hidden="1" customWidth="1"/>
    <col min="1554" max="1554" width="10.85546875" style="138" hidden="1" customWidth="1"/>
    <col min="1555" max="1555" width="8.7109375" style="138" hidden="1" customWidth="1"/>
    <col min="1556" max="1556" width="6.28515625" style="138" hidden="1" customWidth="1"/>
    <col min="1557" max="1557" width="4" style="138" hidden="1" customWidth="1"/>
    <col min="1558" max="1558" width="8.7109375" style="138" hidden="1" customWidth="1"/>
    <col min="1559" max="1559" width="13.7109375" style="138" hidden="1" customWidth="1"/>
    <col min="1560" max="1560" width="20.7109375" style="138" hidden="1" customWidth="1"/>
    <col min="1561" max="1561" width="9.42578125" style="138" hidden="1" customWidth="1"/>
    <col min="1562" max="1562" width="3.28515625" style="138" hidden="1" customWidth="1"/>
    <col min="1563" max="1786" width="0" style="138" hidden="1"/>
    <col min="1787" max="1788" width="3.28515625" style="138" hidden="1" customWidth="1"/>
    <col min="1789" max="1789" width="30.7109375" style="138" hidden="1" customWidth="1"/>
    <col min="1790" max="1790" width="2.7109375" style="138" hidden="1" customWidth="1"/>
    <col min="1791" max="1791" width="12.85546875" style="138" hidden="1" customWidth="1"/>
    <col min="1792" max="1793" width="9.5703125" style="138" hidden="1" customWidth="1"/>
    <col min="1794" max="1794" width="7.42578125" style="138" hidden="1" customWidth="1"/>
    <col min="1795" max="1795" width="11.140625" style="138" hidden="1" customWidth="1"/>
    <col min="1796" max="1796" width="11.28515625" style="138" hidden="1" customWidth="1"/>
    <col min="1797" max="1797" width="11.7109375" style="138" hidden="1" customWidth="1"/>
    <col min="1798" max="1798" width="11.28515625" style="138" hidden="1" customWidth="1"/>
    <col min="1799" max="1799" width="10.7109375" style="138" hidden="1" customWidth="1"/>
    <col min="1800" max="1800" width="11.28515625" style="138" hidden="1" customWidth="1"/>
    <col min="1801" max="1801" width="11.42578125" style="138" hidden="1" customWidth="1"/>
    <col min="1802" max="1802" width="10.42578125" style="138" hidden="1" customWidth="1"/>
    <col min="1803" max="1803" width="11.28515625" style="138" hidden="1" customWidth="1"/>
    <col min="1804" max="1804" width="11.42578125" style="138" hidden="1" customWidth="1"/>
    <col min="1805" max="1805" width="10.7109375" style="138" hidden="1" customWidth="1"/>
    <col min="1806" max="1806" width="10.28515625" style="138" hidden="1" customWidth="1"/>
    <col min="1807" max="1807" width="11.5703125" style="138" hidden="1" customWidth="1"/>
    <col min="1808" max="1809" width="11.42578125" style="138" hidden="1" customWidth="1"/>
    <col min="1810" max="1810" width="10.85546875" style="138" hidden="1" customWidth="1"/>
    <col min="1811" max="1811" width="8.7109375" style="138" hidden="1" customWidth="1"/>
    <col min="1812" max="1812" width="6.28515625" style="138" hidden="1" customWidth="1"/>
    <col min="1813" max="1813" width="4" style="138" hidden="1" customWidth="1"/>
    <col min="1814" max="1814" width="8.7109375" style="138" hidden="1" customWidth="1"/>
    <col min="1815" max="1815" width="13.7109375" style="138" hidden="1" customWidth="1"/>
    <col min="1816" max="1816" width="20.7109375" style="138" hidden="1" customWidth="1"/>
    <col min="1817" max="1817" width="9.42578125" style="138" hidden="1" customWidth="1"/>
    <col min="1818" max="1818" width="3.28515625" style="138" hidden="1" customWidth="1"/>
    <col min="1819" max="2042" width="0" style="138" hidden="1"/>
    <col min="2043" max="2044" width="3.28515625" style="138" hidden="1" customWidth="1"/>
    <col min="2045" max="2045" width="30.7109375" style="138" hidden="1" customWidth="1"/>
    <col min="2046" max="2046" width="2.7109375" style="138" hidden="1" customWidth="1"/>
    <col min="2047" max="2047" width="12.85546875" style="138" hidden="1" customWidth="1"/>
    <col min="2048" max="2049" width="9.5703125" style="138" hidden="1" customWidth="1"/>
    <col min="2050" max="2050" width="7.42578125" style="138" hidden="1" customWidth="1"/>
    <col min="2051" max="2051" width="11.140625" style="138" hidden="1" customWidth="1"/>
    <col min="2052" max="2052" width="11.28515625" style="138" hidden="1" customWidth="1"/>
    <col min="2053" max="2053" width="11.7109375" style="138" hidden="1" customWidth="1"/>
    <col min="2054" max="2054" width="11.28515625" style="138" hidden="1" customWidth="1"/>
    <col min="2055" max="2055" width="10.7109375" style="138" hidden="1" customWidth="1"/>
    <col min="2056" max="2056" width="11.28515625" style="138" hidden="1" customWidth="1"/>
    <col min="2057" max="2057" width="11.42578125" style="138" hidden="1" customWidth="1"/>
    <col min="2058" max="2058" width="10.42578125" style="138" hidden="1" customWidth="1"/>
    <col min="2059" max="2059" width="11.28515625" style="138" hidden="1" customWidth="1"/>
    <col min="2060" max="2060" width="11.42578125" style="138" hidden="1" customWidth="1"/>
    <col min="2061" max="2061" width="10.7109375" style="138" hidden="1" customWidth="1"/>
    <col min="2062" max="2062" width="10.28515625" style="138" hidden="1" customWidth="1"/>
    <col min="2063" max="2063" width="11.5703125" style="138" hidden="1" customWidth="1"/>
    <col min="2064" max="2065" width="11.42578125" style="138" hidden="1" customWidth="1"/>
    <col min="2066" max="2066" width="10.85546875" style="138" hidden="1" customWidth="1"/>
    <col min="2067" max="2067" width="8.7109375" style="138" hidden="1" customWidth="1"/>
    <col min="2068" max="2068" width="6.28515625" style="138" hidden="1" customWidth="1"/>
    <col min="2069" max="2069" width="4" style="138" hidden="1" customWidth="1"/>
    <col min="2070" max="2070" width="8.7109375" style="138" hidden="1" customWidth="1"/>
    <col min="2071" max="2071" width="13.7109375" style="138" hidden="1" customWidth="1"/>
    <col min="2072" max="2072" width="20.7109375" style="138" hidden="1" customWidth="1"/>
    <col min="2073" max="2073" width="9.42578125" style="138" hidden="1" customWidth="1"/>
    <col min="2074" max="2074" width="3.28515625" style="138" hidden="1" customWidth="1"/>
    <col min="2075" max="2298" width="0" style="138" hidden="1"/>
    <col min="2299" max="2300" width="3.28515625" style="138" hidden="1" customWidth="1"/>
    <col min="2301" max="2301" width="30.7109375" style="138" hidden="1" customWidth="1"/>
    <col min="2302" max="2302" width="2.7109375" style="138" hidden="1" customWidth="1"/>
    <col min="2303" max="2303" width="12.85546875" style="138" hidden="1" customWidth="1"/>
    <col min="2304" max="2305" width="9.5703125" style="138" hidden="1" customWidth="1"/>
    <col min="2306" max="2306" width="7.42578125" style="138" hidden="1" customWidth="1"/>
    <col min="2307" max="2307" width="11.140625" style="138" hidden="1" customWidth="1"/>
    <col min="2308" max="2308" width="11.28515625" style="138" hidden="1" customWidth="1"/>
    <col min="2309" max="2309" width="11.7109375" style="138" hidden="1" customWidth="1"/>
    <col min="2310" max="2310" width="11.28515625" style="138" hidden="1" customWidth="1"/>
    <col min="2311" max="2311" width="10.7109375" style="138" hidden="1" customWidth="1"/>
    <col min="2312" max="2312" width="11.28515625" style="138" hidden="1" customWidth="1"/>
    <col min="2313" max="2313" width="11.42578125" style="138" hidden="1" customWidth="1"/>
    <col min="2314" max="2314" width="10.42578125" style="138" hidden="1" customWidth="1"/>
    <col min="2315" max="2315" width="11.28515625" style="138" hidden="1" customWidth="1"/>
    <col min="2316" max="2316" width="11.42578125" style="138" hidden="1" customWidth="1"/>
    <col min="2317" max="2317" width="10.7109375" style="138" hidden="1" customWidth="1"/>
    <col min="2318" max="2318" width="10.28515625" style="138" hidden="1" customWidth="1"/>
    <col min="2319" max="2319" width="11.5703125" style="138" hidden="1" customWidth="1"/>
    <col min="2320" max="2321" width="11.42578125" style="138" hidden="1" customWidth="1"/>
    <col min="2322" max="2322" width="10.85546875" style="138" hidden="1" customWidth="1"/>
    <col min="2323" max="2323" width="8.7109375" style="138" hidden="1" customWidth="1"/>
    <col min="2324" max="2324" width="6.28515625" style="138" hidden="1" customWidth="1"/>
    <col min="2325" max="2325" width="4" style="138" hidden="1" customWidth="1"/>
    <col min="2326" max="2326" width="8.7109375" style="138" hidden="1" customWidth="1"/>
    <col min="2327" max="2327" width="13.7109375" style="138" hidden="1" customWidth="1"/>
    <col min="2328" max="2328" width="20.7109375" style="138" hidden="1" customWidth="1"/>
    <col min="2329" max="2329" width="9.42578125" style="138" hidden="1" customWidth="1"/>
    <col min="2330" max="2330" width="3.28515625" style="138" hidden="1" customWidth="1"/>
    <col min="2331" max="2554" width="0" style="138" hidden="1"/>
    <col min="2555" max="2556" width="3.28515625" style="138" hidden="1" customWidth="1"/>
    <col min="2557" max="2557" width="30.7109375" style="138" hidden="1" customWidth="1"/>
    <col min="2558" max="2558" width="2.7109375" style="138" hidden="1" customWidth="1"/>
    <col min="2559" max="2559" width="12.85546875" style="138" hidden="1" customWidth="1"/>
    <col min="2560" max="2561" width="9.5703125" style="138" hidden="1" customWidth="1"/>
    <col min="2562" max="2562" width="7.42578125" style="138" hidden="1" customWidth="1"/>
    <col min="2563" max="2563" width="11.140625" style="138" hidden="1" customWidth="1"/>
    <col min="2564" max="2564" width="11.28515625" style="138" hidden="1" customWidth="1"/>
    <col min="2565" max="2565" width="11.7109375" style="138" hidden="1" customWidth="1"/>
    <col min="2566" max="2566" width="11.28515625" style="138" hidden="1" customWidth="1"/>
    <col min="2567" max="2567" width="10.7109375" style="138" hidden="1" customWidth="1"/>
    <col min="2568" max="2568" width="11.28515625" style="138" hidden="1" customWidth="1"/>
    <col min="2569" max="2569" width="11.42578125" style="138" hidden="1" customWidth="1"/>
    <col min="2570" max="2570" width="10.42578125" style="138" hidden="1" customWidth="1"/>
    <col min="2571" max="2571" width="11.28515625" style="138" hidden="1" customWidth="1"/>
    <col min="2572" max="2572" width="11.42578125" style="138" hidden="1" customWidth="1"/>
    <col min="2573" max="2573" width="10.7109375" style="138" hidden="1" customWidth="1"/>
    <col min="2574" max="2574" width="10.28515625" style="138" hidden="1" customWidth="1"/>
    <col min="2575" max="2575" width="11.5703125" style="138" hidden="1" customWidth="1"/>
    <col min="2576" max="2577" width="11.42578125" style="138" hidden="1" customWidth="1"/>
    <col min="2578" max="2578" width="10.85546875" style="138" hidden="1" customWidth="1"/>
    <col min="2579" max="2579" width="8.7109375" style="138" hidden="1" customWidth="1"/>
    <col min="2580" max="2580" width="6.28515625" style="138" hidden="1" customWidth="1"/>
    <col min="2581" max="2581" width="4" style="138" hidden="1" customWidth="1"/>
    <col min="2582" max="2582" width="8.7109375" style="138" hidden="1" customWidth="1"/>
    <col min="2583" max="2583" width="13.7109375" style="138" hidden="1" customWidth="1"/>
    <col min="2584" max="2584" width="20.7109375" style="138" hidden="1" customWidth="1"/>
    <col min="2585" max="2585" width="9.42578125" style="138" hidden="1" customWidth="1"/>
    <col min="2586" max="2586" width="3.28515625" style="138" hidden="1" customWidth="1"/>
    <col min="2587" max="2810" width="0" style="138" hidden="1"/>
    <col min="2811" max="2812" width="3.28515625" style="138" hidden="1" customWidth="1"/>
    <col min="2813" max="2813" width="30.7109375" style="138" hidden="1" customWidth="1"/>
    <col min="2814" max="2814" width="2.7109375" style="138" hidden="1" customWidth="1"/>
    <col min="2815" max="2815" width="12.85546875" style="138" hidden="1" customWidth="1"/>
    <col min="2816" max="2817" width="9.5703125" style="138" hidden="1" customWidth="1"/>
    <col min="2818" max="2818" width="7.42578125" style="138" hidden="1" customWidth="1"/>
    <col min="2819" max="2819" width="11.140625" style="138" hidden="1" customWidth="1"/>
    <col min="2820" max="2820" width="11.28515625" style="138" hidden="1" customWidth="1"/>
    <col min="2821" max="2821" width="11.7109375" style="138" hidden="1" customWidth="1"/>
    <col min="2822" max="2822" width="11.28515625" style="138" hidden="1" customWidth="1"/>
    <col min="2823" max="2823" width="10.7109375" style="138" hidden="1" customWidth="1"/>
    <col min="2824" max="2824" width="11.28515625" style="138" hidden="1" customWidth="1"/>
    <col min="2825" max="2825" width="11.42578125" style="138" hidden="1" customWidth="1"/>
    <col min="2826" max="2826" width="10.42578125" style="138" hidden="1" customWidth="1"/>
    <col min="2827" max="2827" width="11.28515625" style="138" hidden="1" customWidth="1"/>
    <col min="2828" max="2828" width="11.42578125" style="138" hidden="1" customWidth="1"/>
    <col min="2829" max="2829" width="10.7109375" style="138" hidden="1" customWidth="1"/>
    <col min="2830" max="2830" width="10.28515625" style="138" hidden="1" customWidth="1"/>
    <col min="2831" max="2831" width="11.5703125" style="138" hidden="1" customWidth="1"/>
    <col min="2832" max="2833" width="11.42578125" style="138" hidden="1" customWidth="1"/>
    <col min="2834" max="2834" width="10.85546875" style="138" hidden="1" customWidth="1"/>
    <col min="2835" max="2835" width="8.7109375" style="138" hidden="1" customWidth="1"/>
    <col min="2836" max="2836" width="6.28515625" style="138" hidden="1" customWidth="1"/>
    <col min="2837" max="2837" width="4" style="138" hidden="1" customWidth="1"/>
    <col min="2838" max="2838" width="8.7109375" style="138" hidden="1" customWidth="1"/>
    <col min="2839" max="2839" width="13.7109375" style="138" hidden="1" customWidth="1"/>
    <col min="2840" max="2840" width="20.7109375" style="138" hidden="1" customWidth="1"/>
    <col min="2841" max="2841" width="9.42578125" style="138" hidden="1" customWidth="1"/>
    <col min="2842" max="2842" width="3.28515625" style="138" hidden="1" customWidth="1"/>
    <col min="2843" max="3066" width="0" style="138" hidden="1"/>
    <col min="3067" max="3068" width="3.28515625" style="138" hidden="1" customWidth="1"/>
    <col min="3069" max="3069" width="30.7109375" style="138" hidden="1" customWidth="1"/>
    <col min="3070" max="3070" width="2.7109375" style="138" hidden="1" customWidth="1"/>
    <col min="3071" max="3071" width="12.85546875" style="138" hidden="1" customWidth="1"/>
    <col min="3072" max="3073" width="9.5703125" style="138" hidden="1" customWidth="1"/>
    <col min="3074" max="3074" width="7.42578125" style="138" hidden="1" customWidth="1"/>
    <col min="3075" max="3075" width="11.140625" style="138" hidden="1" customWidth="1"/>
    <col min="3076" max="3076" width="11.28515625" style="138" hidden="1" customWidth="1"/>
    <col min="3077" max="3077" width="11.7109375" style="138" hidden="1" customWidth="1"/>
    <col min="3078" max="3078" width="11.28515625" style="138" hidden="1" customWidth="1"/>
    <col min="3079" max="3079" width="10.7109375" style="138" hidden="1" customWidth="1"/>
    <col min="3080" max="3080" width="11.28515625" style="138" hidden="1" customWidth="1"/>
    <col min="3081" max="3081" width="11.42578125" style="138" hidden="1" customWidth="1"/>
    <col min="3082" max="3082" width="10.42578125" style="138" hidden="1" customWidth="1"/>
    <col min="3083" max="3083" width="11.28515625" style="138" hidden="1" customWidth="1"/>
    <col min="3084" max="3084" width="11.42578125" style="138" hidden="1" customWidth="1"/>
    <col min="3085" max="3085" width="10.7109375" style="138" hidden="1" customWidth="1"/>
    <col min="3086" max="3086" width="10.28515625" style="138" hidden="1" customWidth="1"/>
    <col min="3087" max="3087" width="11.5703125" style="138" hidden="1" customWidth="1"/>
    <col min="3088" max="3089" width="11.42578125" style="138" hidden="1" customWidth="1"/>
    <col min="3090" max="3090" width="10.85546875" style="138" hidden="1" customWidth="1"/>
    <col min="3091" max="3091" width="8.7109375" style="138" hidden="1" customWidth="1"/>
    <col min="3092" max="3092" width="6.28515625" style="138" hidden="1" customWidth="1"/>
    <col min="3093" max="3093" width="4" style="138" hidden="1" customWidth="1"/>
    <col min="3094" max="3094" width="8.7109375" style="138" hidden="1" customWidth="1"/>
    <col min="3095" max="3095" width="13.7109375" style="138" hidden="1" customWidth="1"/>
    <col min="3096" max="3096" width="20.7109375" style="138" hidden="1" customWidth="1"/>
    <col min="3097" max="3097" width="9.42578125" style="138" hidden="1" customWidth="1"/>
    <col min="3098" max="3098" width="3.28515625" style="138" hidden="1" customWidth="1"/>
    <col min="3099" max="3322" width="0" style="138" hidden="1"/>
    <col min="3323" max="3324" width="3.28515625" style="138" hidden="1" customWidth="1"/>
    <col min="3325" max="3325" width="30.7109375" style="138" hidden="1" customWidth="1"/>
    <col min="3326" max="3326" width="2.7109375" style="138" hidden="1" customWidth="1"/>
    <col min="3327" max="3327" width="12.85546875" style="138" hidden="1" customWidth="1"/>
    <col min="3328" max="3329" width="9.5703125" style="138" hidden="1" customWidth="1"/>
    <col min="3330" max="3330" width="7.42578125" style="138" hidden="1" customWidth="1"/>
    <col min="3331" max="3331" width="11.140625" style="138" hidden="1" customWidth="1"/>
    <col min="3332" max="3332" width="11.28515625" style="138" hidden="1" customWidth="1"/>
    <col min="3333" max="3333" width="11.7109375" style="138" hidden="1" customWidth="1"/>
    <col min="3334" max="3334" width="11.28515625" style="138" hidden="1" customWidth="1"/>
    <col min="3335" max="3335" width="10.7109375" style="138" hidden="1" customWidth="1"/>
    <col min="3336" max="3336" width="11.28515625" style="138" hidden="1" customWidth="1"/>
    <col min="3337" max="3337" width="11.42578125" style="138" hidden="1" customWidth="1"/>
    <col min="3338" max="3338" width="10.42578125" style="138" hidden="1" customWidth="1"/>
    <col min="3339" max="3339" width="11.28515625" style="138" hidden="1" customWidth="1"/>
    <col min="3340" max="3340" width="11.42578125" style="138" hidden="1" customWidth="1"/>
    <col min="3341" max="3341" width="10.7109375" style="138" hidden="1" customWidth="1"/>
    <col min="3342" max="3342" width="10.28515625" style="138" hidden="1" customWidth="1"/>
    <col min="3343" max="3343" width="11.5703125" style="138" hidden="1" customWidth="1"/>
    <col min="3344" max="3345" width="11.42578125" style="138" hidden="1" customWidth="1"/>
    <col min="3346" max="3346" width="10.85546875" style="138" hidden="1" customWidth="1"/>
    <col min="3347" max="3347" width="8.7109375" style="138" hidden="1" customWidth="1"/>
    <col min="3348" max="3348" width="6.28515625" style="138" hidden="1" customWidth="1"/>
    <col min="3349" max="3349" width="4" style="138" hidden="1" customWidth="1"/>
    <col min="3350" max="3350" width="8.7109375" style="138" hidden="1" customWidth="1"/>
    <col min="3351" max="3351" width="13.7109375" style="138" hidden="1" customWidth="1"/>
    <col min="3352" max="3352" width="20.7109375" style="138" hidden="1" customWidth="1"/>
    <col min="3353" max="3353" width="9.42578125" style="138" hidden="1" customWidth="1"/>
    <col min="3354" max="3354" width="3.28515625" style="138" hidden="1" customWidth="1"/>
    <col min="3355" max="3578" width="0" style="138" hidden="1"/>
    <col min="3579" max="3580" width="3.28515625" style="138" hidden="1" customWidth="1"/>
    <col min="3581" max="3581" width="30.7109375" style="138" hidden="1" customWidth="1"/>
    <col min="3582" max="3582" width="2.7109375" style="138" hidden="1" customWidth="1"/>
    <col min="3583" max="3583" width="12.85546875" style="138" hidden="1" customWidth="1"/>
    <col min="3584" max="3585" width="9.5703125" style="138" hidden="1" customWidth="1"/>
    <col min="3586" max="3586" width="7.42578125" style="138" hidden="1" customWidth="1"/>
    <col min="3587" max="3587" width="11.140625" style="138" hidden="1" customWidth="1"/>
    <col min="3588" max="3588" width="11.28515625" style="138" hidden="1" customWidth="1"/>
    <col min="3589" max="3589" width="11.7109375" style="138" hidden="1" customWidth="1"/>
    <col min="3590" max="3590" width="11.28515625" style="138" hidden="1" customWidth="1"/>
    <col min="3591" max="3591" width="10.7109375" style="138" hidden="1" customWidth="1"/>
    <col min="3592" max="3592" width="11.28515625" style="138" hidden="1" customWidth="1"/>
    <col min="3593" max="3593" width="11.42578125" style="138" hidden="1" customWidth="1"/>
    <col min="3594" max="3594" width="10.42578125" style="138" hidden="1" customWidth="1"/>
    <col min="3595" max="3595" width="11.28515625" style="138" hidden="1" customWidth="1"/>
    <col min="3596" max="3596" width="11.42578125" style="138" hidden="1" customWidth="1"/>
    <col min="3597" max="3597" width="10.7109375" style="138" hidden="1" customWidth="1"/>
    <col min="3598" max="3598" width="10.28515625" style="138" hidden="1" customWidth="1"/>
    <col min="3599" max="3599" width="11.5703125" style="138" hidden="1" customWidth="1"/>
    <col min="3600" max="3601" width="11.42578125" style="138" hidden="1" customWidth="1"/>
    <col min="3602" max="3602" width="10.85546875" style="138" hidden="1" customWidth="1"/>
    <col min="3603" max="3603" width="8.7109375" style="138" hidden="1" customWidth="1"/>
    <col min="3604" max="3604" width="6.28515625" style="138" hidden="1" customWidth="1"/>
    <col min="3605" max="3605" width="4" style="138" hidden="1" customWidth="1"/>
    <col min="3606" max="3606" width="8.7109375" style="138" hidden="1" customWidth="1"/>
    <col min="3607" max="3607" width="13.7109375" style="138" hidden="1" customWidth="1"/>
    <col min="3608" max="3608" width="20.7109375" style="138" hidden="1" customWidth="1"/>
    <col min="3609" max="3609" width="9.42578125" style="138" hidden="1" customWidth="1"/>
    <col min="3610" max="3610" width="3.28515625" style="138" hidden="1" customWidth="1"/>
    <col min="3611" max="3834" width="0" style="138" hidden="1"/>
    <col min="3835" max="3836" width="3.28515625" style="138" hidden="1" customWidth="1"/>
    <col min="3837" max="3837" width="30.7109375" style="138" hidden="1" customWidth="1"/>
    <col min="3838" max="3838" width="2.7109375" style="138" hidden="1" customWidth="1"/>
    <col min="3839" max="3839" width="12.85546875" style="138" hidden="1" customWidth="1"/>
    <col min="3840" max="3841" width="9.5703125" style="138" hidden="1" customWidth="1"/>
    <col min="3842" max="3842" width="7.42578125" style="138" hidden="1" customWidth="1"/>
    <col min="3843" max="3843" width="11.140625" style="138" hidden="1" customWidth="1"/>
    <col min="3844" max="3844" width="11.28515625" style="138" hidden="1" customWidth="1"/>
    <col min="3845" max="3845" width="11.7109375" style="138" hidden="1" customWidth="1"/>
    <col min="3846" max="3846" width="11.28515625" style="138" hidden="1" customWidth="1"/>
    <col min="3847" max="3847" width="10.7109375" style="138" hidden="1" customWidth="1"/>
    <col min="3848" max="3848" width="11.28515625" style="138" hidden="1" customWidth="1"/>
    <col min="3849" max="3849" width="11.42578125" style="138" hidden="1" customWidth="1"/>
    <col min="3850" max="3850" width="10.42578125" style="138" hidden="1" customWidth="1"/>
    <col min="3851" max="3851" width="11.28515625" style="138" hidden="1" customWidth="1"/>
    <col min="3852" max="3852" width="11.42578125" style="138" hidden="1" customWidth="1"/>
    <col min="3853" max="3853" width="10.7109375" style="138" hidden="1" customWidth="1"/>
    <col min="3854" max="3854" width="10.28515625" style="138" hidden="1" customWidth="1"/>
    <col min="3855" max="3855" width="11.5703125" style="138" hidden="1" customWidth="1"/>
    <col min="3856" max="3857" width="11.42578125" style="138" hidden="1" customWidth="1"/>
    <col min="3858" max="3858" width="10.85546875" style="138" hidden="1" customWidth="1"/>
    <col min="3859" max="3859" width="8.7109375" style="138" hidden="1" customWidth="1"/>
    <col min="3860" max="3860" width="6.28515625" style="138" hidden="1" customWidth="1"/>
    <col min="3861" max="3861" width="4" style="138" hidden="1" customWidth="1"/>
    <col min="3862" max="3862" width="8.7109375" style="138" hidden="1" customWidth="1"/>
    <col min="3863" max="3863" width="13.7109375" style="138" hidden="1" customWidth="1"/>
    <col min="3864" max="3864" width="20.7109375" style="138" hidden="1" customWidth="1"/>
    <col min="3865" max="3865" width="9.42578125" style="138" hidden="1" customWidth="1"/>
    <col min="3866" max="3866" width="3.28515625" style="138" hidden="1" customWidth="1"/>
    <col min="3867" max="4090" width="0" style="138" hidden="1"/>
    <col min="4091" max="4092" width="3.28515625" style="138" hidden="1" customWidth="1"/>
    <col min="4093" max="4093" width="30.7109375" style="138" hidden="1" customWidth="1"/>
    <col min="4094" max="4094" width="2.7109375" style="138" hidden="1" customWidth="1"/>
    <col min="4095" max="4095" width="12.85546875" style="138" hidden="1" customWidth="1"/>
    <col min="4096" max="4097" width="9.5703125" style="138" hidden="1" customWidth="1"/>
    <col min="4098" max="4098" width="7.42578125" style="138" hidden="1" customWidth="1"/>
    <col min="4099" max="4099" width="11.140625" style="138" hidden="1" customWidth="1"/>
    <col min="4100" max="4100" width="11.28515625" style="138" hidden="1" customWidth="1"/>
    <col min="4101" max="4101" width="11.7109375" style="138" hidden="1" customWidth="1"/>
    <col min="4102" max="4102" width="11.28515625" style="138" hidden="1" customWidth="1"/>
    <col min="4103" max="4103" width="10.7109375" style="138" hidden="1" customWidth="1"/>
    <col min="4104" max="4104" width="11.28515625" style="138" hidden="1" customWidth="1"/>
    <col min="4105" max="4105" width="11.42578125" style="138" hidden="1" customWidth="1"/>
    <col min="4106" max="4106" width="10.42578125" style="138" hidden="1" customWidth="1"/>
    <col min="4107" max="4107" width="11.28515625" style="138" hidden="1" customWidth="1"/>
    <col min="4108" max="4108" width="11.42578125" style="138" hidden="1" customWidth="1"/>
    <col min="4109" max="4109" width="10.7109375" style="138" hidden="1" customWidth="1"/>
    <col min="4110" max="4110" width="10.28515625" style="138" hidden="1" customWidth="1"/>
    <col min="4111" max="4111" width="11.5703125" style="138" hidden="1" customWidth="1"/>
    <col min="4112" max="4113" width="11.42578125" style="138" hidden="1" customWidth="1"/>
    <col min="4114" max="4114" width="10.85546875" style="138" hidden="1" customWidth="1"/>
    <col min="4115" max="4115" width="8.7109375" style="138" hidden="1" customWidth="1"/>
    <col min="4116" max="4116" width="6.28515625" style="138" hidden="1" customWidth="1"/>
    <col min="4117" max="4117" width="4" style="138" hidden="1" customWidth="1"/>
    <col min="4118" max="4118" width="8.7109375" style="138" hidden="1" customWidth="1"/>
    <col min="4119" max="4119" width="13.7109375" style="138" hidden="1" customWidth="1"/>
    <col min="4120" max="4120" width="20.7109375" style="138" hidden="1" customWidth="1"/>
    <col min="4121" max="4121" width="9.42578125" style="138" hidden="1" customWidth="1"/>
    <col min="4122" max="4122" width="3.28515625" style="138" hidden="1" customWidth="1"/>
    <col min="4123" max="4346" width="0" style="138" hidden="1"/>
    <col min="4347" max="4348" width="3.28515625" style="138" hidden="1" customWidth="1"/>
    <col min="4349" max="4349" width="30.7109375" style="138" hidden="1" customWidth="1"/>
    <col min="4350" max="4350" width="2.7109375" style="138" hidden="1" customWidth="1"/>
    <col min="4351" max="4351" width="12.85546875" style="138" hidden="1" customWidth="1"/>
    <col min="4352" max="4353" width="9.5703125" style="138" hidden="1" customWidth="1"/>
    <col min="4354" max="4354" width="7.42578125" style="138" hidden="1" customWidth="1"/>
    <col min="4355" max="4355" width="11.140625" style="138" hidden="1" customWidth="1"/>
    <col min="4356" max="4356" width="11.28515625" style="138" hidden="1" customWidth="1"/>
    <col min="4357" max="4357" width="11.7109375" style="138" hidden="1" customWidth="1"/>
    <col min="4358" max="4358" width="11.28515625" style="138" hidden="1" customWidth="1"/>
    <col min="4359" max="4359" width="10.7109375" style="138" hidden="1" customWidth="1"/>
    <col min="4360" max="4360" width="11.28515625" style="138" hidden="1" customWidth="1"/>
    <col min="4361" max="4361" width="11.42578125" style="138" hidden="1" customWidth="1"/>
    <col min="4362" max="4362" width="10.42578125" style="138" hidden="1" customWidth="1"/>
    <col min="4363" max="4363" width="11.28515625" style="138" hidden="1" customWidth="1"/>
    <col min="4364" max="4364" width="11.42578125" style="138" hidden="1" customWidth="1"/>
    <col min="4365" max="4365" width="10.7109375" style="138" hidden="1" customWidth="1"/>
    <col min="4366" max="4366" width="10.28515625" style="138" hidden="1" customWidth="1"/>
    <col min="4367" max="4367" width="11.5703125" style="138" hidden="1" customWidth="1"/>
    <col min="4368" max="4369" width="11.42578125" style="138" hidden="1" customWidth="1"/>
    <col min="4370" max="4370" width="10.85546875" style="138" hidden="1" customWidth="1"/>
    <col min="4371" max="4371" width="8.7109375" style="138" hidden="1" customWidth="1"/>
    <col min="4372" max="4372" width="6.28515625" style="138" hidden="1" customWidth="1"/>
    <col min="4373" max="4373" width="4" style="138" hidden="1" customWidth="1"/>
    <col min="4374" max="4374" width="8.7109375" style="138" hidden="1" customWidth="1"/>
    <col min="4375" max="4375" width="13.7109375" style="138" hidden="1" customWidth="1"/>
    <col min="4376" max="4376" width="20.7109375" style="138" hidden="1" customWidth="1"/>
    <col min="4377" max="4377" width="9.42578125" style="138" hidden="1" customWidth="1"/>
    <col min="4378" max="4378" width="3.28515625" style="138" hidden="1" customWidth="1"/>
    <col min="4379" max="4602" width="0" style="138" hidden="1"/>
    <col min="4603" max="4604" width="3.28515625" style="138" hidden="1" customWidth="1"/>
    <col min="4605" max="4605" width="30.7109375" style="138" hidden="1" customWidth="1"/>
    <col min="4606" max="4606" width="2.7109375" style="138" hidden="1" customWidth="1"/>
    <col min="4607" max="4607" width="12.85546875" style="138" hidden="1" customWidth="1"/>
    <col min="4608" max="4609" width="9.5703125" style="138" hidden="1" customWidth="1"/>
    <col min="4610" max="4610" width="7.42578125" style="138" hidden="1" customWidth="1"/>
    <col min="4611" max="4611" width="11.140625" style="138" hidden="1" customWidth="1"/>
    <col min="4612" max="4612" width="11.28515625" style="138" hidden="1" customWidth="1"/>
    <col min="4613" max="4613" width="11.7109375" style="138" hidden="1" customWidth="1"/>
    <col min="4614" max="4614" width="11.28515625" style="138" hidden="1" customWidth="1"/>
    <col min="4615" max="4615" width="10.7109375" style="138" hidden="1" customWidth="1"/>
    <col min="4616" max="4616" width="11.28515625" style="138" hidden="1" customWidth="1"/>
    <col min="4617" max="4617" width="11.42578125" style="138" hidden="1" customWidth="1"/>
    <col min="4618" max="4618" width="10.42578125" style="138" hidden="1" customWidth="1"/>
    <col min="4619" max="4619" width="11.28515625" style="138" hidden="1" customWidth="1"/>
    <col min="4620" max="4620" width="11.42578125" style="138" hidden="1" customWidth="1"/>
    <col min="4621" max="4621" width="10.7109375" style="138" hidden="1" customWidth="1"/>
    <col min="4622" max="4622" width="10.28515625" style="138" hidden="1" customWidth="1"/>
    <col min="4623" max="4623" width="11.5703125" style="138" hidden="1" customWidth="1"/>
    <col min="4624" max="4625" width="11.42578125" style="138" hidden="1" customWidth="1"/>
    <col min="4626" max="4626" width="10.85546875" style="138" hidden="1" customWidth="1"/>
    <col min="4627" max="4627" width="8.7109375" style="138" hidden="1" customWidth="1"/>
    <col min="4628" max="4628" width="6.28515625" style="138" hidden="1" customWidth="1"/>
    <col min="4629" max="4629" width="4" style="138" hidden="1" customWidth="1"/>
    <col min="4630" max="4630" width="8.7109375" style="138" hidden="1" customWidth="1"/>
    <col min="4631" max="4631" width="13.7109375" style="138" hidden="1" customWidth="1"/>
    <col min="4632" max="4632" width="20.7109375" style="138" hidden="1" customWidth="1"/>
    <col min="4633" max="4633" width="9.42578125" style="138" hidden="1" customWidth="1"/>
    <col min="4634" max="4634" width="3.28515625" style="138" hidden="1" customWidth="1"/>
    <col min="4635" max="4858" width="0" style="138" hidden="1"/>
    <col min="4859" max="4860" width="3.28515625" style="138" hidden="1" customWidth="1"/>
    <col min="4861" max="4861" width="30.7109375" style="138" hidden="1" customWidth="1"/>
    <col min="4862" max="4862" width="2.7109375" style="138" hidden="1" customWidth="1"/>
    <col min="4863" max="4863" width="12.85546875" style="138" hidden="1" customWidth="1"/>
    <col min="4864" max="4865" width="9.5703125" style="138" hidden="1" customWidth="1"/>
    <col min="4866" max="4866" width="7.42578125" style="138" hidden="1" customWidth="1"/>
    <col min="4867" max="4867" width="11.140625" style="138" hidden="1" customWidth="1"/>
    <col min="4868" max="4868" width="11.28515625" style="138" hidden="1" customWidth="1"/>
    <col min="4869" max="4869" width="11.7109375" style="138" hidden="1" customWidth="1"/>
    <col min="4870" max="4870" width="11.28515625" style="138" hidden="1" customWidth="1"/>
    <col min="4871" max="4871" width="10.7109375" style="138" hidden="1" customWidth="1"/>
    <col min="4872" max="4872" width="11.28515625" style="138" hidden="1" customWidth="1"/>
    <col min="4873" max="4873" width="11.42578125" style="138" hidden="1" customWidth="1"/>
    <col min="4874" max="4874" width="10.42578125" style="138" hidden="1" customWidth="1"/>
    <col min="4875" max="4875" width="11.28515625" style="138" hidden="1" customWidth="1"/>
    <col min="4876" max="4876" width="11.42578125" style="138" hidden="1" customWidth="1"/>
    <col min="4877" max="4877" width="10.7109375" style="138" hidden="1" customWidth="1"/>
    <col min="4878" max="4878" width="10.28515625" style="138" hidden="1" customWidth="1"/>
    <col min="4879" max="4879" width="11.5703125" style="138" hidden="1" customWidth="1"/>
    <col min="4880" max="4881" width="11.42578125" style="138" hidden="1" customWidth="1"/>
    <col min="4882" max="4882" width="10.85546875" style="138" hidden="1" customWidth="1"/>
    <col min="4883" max="4883" width="8.7109375" style="138" hidden="1" customWidth="1"/>
    <col min="4884" max="4884" width="6.28515625" style="138" hidden="1" customWidth="1"/>
    <col min="4885" max="4885" width="4" style="138" hidden="1" customWidth="1"/>
    <col min="4886" max="4886" width="8.7109375" style="138" hidden="1" customWidth="1"/>
    <col min="4887" max="4887" width="13.7109375" style="138" hidden="1" customWidth="1"/>
    <col min="4888" max="4888" width="20.7109375" style="138" hidden="1" customWidth="1"/>
    <col min="4889" max="4889" width="9.42578125" style="138" hidden="1" customWidth="1"/>
    <col min="4890" max="4890" width="3.28515625" style="138" hidden="1" customWidth="1"/>
    <col min="4891" max="5114" width="0" style="138" hidden="1"/>
    <col min="5115" max="5116" width="3.28515625" style="138" hidden="1" customWidth="1"/>
    <col min="5117" max="5117" width="30.7109375" style="138" hidden="1" customWidth="1"/>
    <col min="5118" max="5118" width="2.7109375" style="138" hidden="1" customWidth="1"/>
    <col min="5119" max="5119" width="12.85546875" style="138" hidden="1" customWidth="1"/>
    <col min="5120" max="5121" width="9.5703125" style="138" hidden="1" customWidth="1"/>
    <col min="5122" max="5122" width="7.42578125" style="138" hidden="1" customWidth="1"/>
    <col min="5123" max="5123" width="11.140625" style="138" hidden="1" customWidth="1"/>
    <col min="5124" max="5124" width="11.28515625" style="138" hidden="1" customWidth="1"/>
    <col min="5125" max="5125" width="11.7109375" style="138" hidden="1" customWidth="1"/>
    <col min="5126" max="5126" width="11.28515625" style="138" hidden="1" customWidth="1"/>
    <col min="5127" max="5127" width="10.7109375" style="138" hidden="1" customWidth="1"/>
    <col min="5128" max="5128" width="11.28515625" style="138" hidden="1" customWidth="1"/>
    <col min="5129" max="5129" width="11.42578125" style="138" hidden="1" customWidth="1"/>
    <col min="5130" max="5130" width="10.42578125" style="138" hidden="1" customWidth="1"/>
    <col min="5131" max="5131" width="11.28515625" style="138" hidden="1" customWidth="1"/>
    <col min="5132" max="5132" width="11.42578125" style="138" hidden="1" customWidth="1"/>
    <col min="5133" max="5133" width="10.7109375" style="138" hidden="1" customWidth="1"/>
    <col min="5134" max="5134" width="10.28515625" style="138" hidden="1" customWidth="1"/>
    <col min="5135" max="5135" width="11.5703125" style="138" hidden="1" customWidth="1"/>
    <col min="5136" max="5137" width="11.42578125" style="138" hidden="1" customWidth="1"/>
    <col min="5138" max="5138" width="10.85546875" style="138" hidden="1" customWidth="1"/>
    <col min="5139" max="5139" width="8.7109375" style="138" hidden="1" customWidth="1"/>
    <col min="5140" max="5140" width="6.28515625" style="138" hidden="1" customWidth="1"/>
    <col min="5141" max="5141" width="4" style="138" hidden="1" customWidth="1"/>
    <col min="5142" max="5142" width="8.7109375" style="138" hidden="1" customWidth="1"/>
    <col min="5143" max="5143" width="13.7109375" style="138" hidden="1" customWidth="1"/>
    <col min="5144" max="5144" width="20.7109375" style="138" hidden="1" customWidth="1"/>
    <col min="5145" max="5145" width="9.42578125" style="138" hidden="1" customWidth="1"/>
    <col min="5146" max="5146" width="3.28515625" style="138" hidden="1" customWidth="1"/>
    <col min="5147" max="5370" width="0" style="138" hidden="1"/>
    <col min="5371" max="5372" width="3.28515625" style="138" hidden="1" customWidth="1"/>
    <col min="5373" max="5373" width="30.7109375" style="138" hidden="1" customWidth="1"/>
    <col min="5374" max="5374" width="2.7109375" style="138" hidden="1" customWidth="1"/>
    <col min="5375" max="5375" width="12.85546875" style="138" hidden="1" customWidth="1"/>
    <col min="5376" max="5377" width="9.5703125" style="138" hidden="1" customWidth="1"/>
    <col min="5378" max="5378" width="7.42578125" style="138" hidden="1" customWidth="1"/>
    <col min="5379" max="5379" width="11.140625" style="138" hidden="1" customWidth="1"/>
    <col min="5380" max="5380" width="11.28515625" style="138" hidden="1" customWidth="1"/>
    <col min="5381" max="5381" width="11.7109375" style="138" hidden="1" customWidth="1"/>
    <col min="5382" max="5382" width="11.28515625" style="138" hidden="1" customWidth="1"/>
    <col min="5383" max="5383" width="10.7109375" style="138" hidden="1" customWidth="1"/>
    <col min="5384" max="5384" width="11.28515625" style="138" hidden="1" customWidth="1"/>
    <col min="5385" max="5385" width="11.42578125" style="138" hidden="1" customWidth="1"/>
    <col min="5386" max="5386" width="10.42578125" style="138" hidden="1" customWidth="1"/>
    <col min="5387" max="5387" width="11.28515625" style="138" hidden="1" customWidth="1"/>
    <col min="5388" max="5388" width="11.42578125" style="138" hidden="1" customWidth="1"/>
    <col min="5389" max="5389" width="10.7109375" style="138" hidden="1" customWidth="1"/>
    <col min="5390" max="5390" width="10.28515625" style="138" hidden="1" customWidth="1"/>
    <col min="5391" max="5391" width="11.5703125" style="138" hidden="1" customWidth="1"/>
    <col min="5392" max="5393" width="11.42578125" style="138" hidden="1" customWidth="1"/>
    <col min="5394" max="5394" width="10.85546875" style="138" hidden="1" customWidth="1"/>
    <col min="5395" max="5395" width="8.7109375" style="138" hidden="1" customWidth="1"/>
    <col min="5396" max="5396" width="6.28515625" style="138" hidden="1" customWidth="1"/>
    <col min="5397" max="5397" width="4" style="138" hidden="1" customWidth="1"/>
    <col min="5398" max="5398" width="8.7109375" style="138" hidden="1" customWidth="1"/>
    <col min="5399" max="5399" width="13.7109375" style="138" hidden="1" customWidth="1"/>
    <col min="5400" max="5400" width="20.7109375" style="138" hidden="1" customWidth="1"/>
    <col min="5401" max="5401" width="9.42578125" style="138" hidden="1" customWidth="1"/>
    <col min="5402" max="5402" width="3.28515625" style="138" hidden="1" customWidth="1"/>
    <col min="5403" max="5626" width="0" style="138" hidden="1"/>
    <col min="5627" max="5628" width="3.28515625" style="138" hidden="1" customWidth="1"/>
    <col min="5629" max="5629" width="30.7109375" style="138" hidden="1" customWidth="1"/>
    <col min="5630" max="5630" width="2.7109375" style="138" hidden="1" customWidth="1"/>
    <col min="5631" max="5631" width="12.85546875" style="138" hidden="1" customWidth="1"/>
    <col min="5632" max="5633" width="9.5703125" style="138" hidden="1" customWidth="1"/>
    <col min="5634" max="5634" width="7.42578125" style="138" hidden="1" customWidth="1"/>
    <col min="5635" max="5635" width="11.140625" style="138" hidden="1" customWidth="1"/>
    <col min="5636" max="5636" width="11.28515625" style="138" hidden="1" customWidth="1"/>
    <col min="5637" max="5637" width="11.7109375" style="138" hidden="1" customWidth="1"/>
    <col min="5638" max="5638" width="11.28515625" style="138" hidden="1" customWidth="1"/>
    <col min="5639" max="5639" width="10.7109375" style="138" hidden="1" customWidth="1"/>
    <col min="5640" max="5640" width="11.28515625" style="138" hidden="1" customWidth="1"/>
    <col min="5641" max="5641" width="11.42578125" style="138" hidden="1" customWidth="1"/>
    <col min="5642" max="5642" width="10.42578125" style="138" hidden="1" customWidth="1"/>
    <col min="5643" max="5643" width="11.28515625" style="138" hidden="1" customWidth="1"/>
    <col min="5644" max="5644" width="11.42578125" style="138" hidden="1" customWidth="1"/>
    <col min="5645" max="5645" width="10.7109375" style="138" hidden="1" customWidth="1"/>
    <col min="5646" max="5646" width="10.28515625" style="138" hidden="1" customWidth="1"/>
    <col min="5647" max="5647" width="11.5703125" style="138" hidden="1" customWidth="1"/>
    <col min="5648" max="5649" width="11.42578125" style="138" hidden="1" customWidth="1"/>
    <col min="5650" max="5650" width="10.85546875" style="138" hidden="1" customWidth="1"/>
    <col min="5651" max="5651" width="8.7109375" style="138" hidden="1" customWidth="1"/>
    <col min="5652" max="5652" width="6.28515625" style="138" hidden="1" customWidth="1"/>
    <col min="5653" max="5653" width="4" style="138" hidden="1" customWidth="1"/>
    <col min="5654" max="5654" width="8.7109375" style="138" hidden="1" customWidth="1"/>
    <col min="5655" max="5655" width="13.7109375" style="138" hidden="1" customWidth="1"/>
    <col min="5656" max="5656" width="20.7109375" style="138" hidden="1" customWidth="1"/>
    <col min="5657" max="5657" width="9.42578125" style="138" hidden="1" customWidth="1"/>
    <col min="5658" max="5658" width="3.28515625" style="138" hidden="1" customWidth="1"/>
    <col min="5659" max="5882" width="0" style="138" hidden="1"/>
    <col min="5883" max="5884" width="3.28515625" style="138" hidden="1" customWidth="1"/>
    <col min="5885" max="5885" width="30.7109375" style="138" hidden="1" customWidth="1"/>
    <col min="5886" max="5886" width="2.7109375" style="138" hidden="1" customWidth="1"/>
    <col min="5887" max="5887" width="12.85546875" style="138" hidden="1" customWidth="1"/>
    <col min="5888" max="5889" width="9.5703125" style="138" hidden="1" customWidth="1"/>
    <col min="5890" max="5890" width="7.42578125" style="138" hidden="1" customWidth="1"/>
    <col min="5891" max="5891" width="11.140625" style="138" hidden="1" customWidth="1"/>
    <col min="5892" max="5892" width="11.28515625" style="138" hidden="1" customWidth="1"/>
    <col min="5893" max="5893" width="11.7109375" style="138" hidden="1" customWidth="1"/>
    <col min="5894" max="5894" width="11.28515625" style="138" hidden="1" customWidth="1"/>
    <col min="5895" max="5895" width="10.7109375" style="138" hidden="1" customWidth="1"/>
    <col min="5896" max="5896" width="11.28515625" style="138" hidden="1" customWidth="1"/>
    <col min="5897" max="5897" width="11.42578125" style="138" hidden="1" customWidth="1"/>
    <col min="5898" max="5898" width="10.42578125" style="138" hidden="1" customWidth="1"/>
    <col min="5899" max="5899" width="11.28515625" style="138" hidden="1" customWidth="1"/>
    <col min="5900" max="5900" width="11.42578125" style="138" hidden="1" customWidth="1"/>
    <col min="5901" max="5901" width="10.7109375" style="138" hidden="1" customWidth="1"/>
    <col min="5902" max="5902" width="10.28515625" style="138" hidden="1" customWidth="1"/>
    <col min="5903" max="5903" width="11.5703125" style="138" hidden="1" customWidth="1"/>
    <col min="5904" max="5905" width="11.42578125" style="138" hidden="1" customWidth="1"/>
    <col min="5906" max="5906" width="10.85546875" style="138" hidden="1" customWidth="1"/>
    <col min="5907" max="5907" width="8.7109375" style="138" hidden="1" customWidth="1"/>
    <col min="5908" max="5908" width="6.28515625" style="138" hidden="1" customWidth="1"/>
    <col min="5909" max="5909" width="4" style="138" hidden="1" customWidth="1"/>
    <col min="5910" max="5910" width="8.7109375" style="138" hidden="1" customWidth="1"/>
    <col min="5911" max="5911" width="13.7109375" style="138" hidden="1" customWidth="1"/>
    <col min="5912" max="5912" width="20.7109375" style="138" hidden="1" customWidth="1"/>
    <col min="5913" max="5913" width="9.42578125" style="138" hidden="1" customWidth="1"/>
    <col min="5914" max="5914" width="3.28515625" style="138" hidden="1" customWidth="1"/>
    <col min="5915" max="6138" width="0" style="138" hidden="1"/>
    <col min="6139" max="6140" width="3.28515625" style="138" hidden="1" customWidth="1"/>
    <col min="6141" max="6141" width="30.7109375" style="138" hidden="1" customWidth="1"/>
    <col min="6142" max="6142" width="2.7109375" style="138" hidden="1" customWidth="1"/>
    <col min="6143" max="6143" width="12.85546875" style="138" hidden="1" customWidth="1"/>
    <col min="6144" max="6145" width="9.5703125" style="138" hidden="1" customWidth="1"/>
    <col min="6146" max="6146" width="7.42578125" style="138" hidden="1" customWidth="1"/>
    <col min="6147" max="6147" width="11.140625" style="138" hidden="1" customWidth="1"/>
    <col min="6148" max="6148" width="11.28515625" style="138" hidden="1" customWidth="1"/>
    <col min="6149" max="6149" width="11.7109375" style="138" hidden="1" customWidth="1"/>
    <col min="6150" max="6150" width="11.28515625" style="138" hidden="1" customWidth="1"/>
    <col min="6151" max="6151" width="10.7109375" style="138" hidden="1" customWidth="1"/>
    <col min="6152" max="6152" width="11.28515625" style="138" hidden="1" customWidth="1"/>
    <col min="6153" max="6153" width="11.42578125" style="138" hidden="1" customWidth="1"/>
    <col min="6154" max="6154" width="10.42578125" style="138" hidden="1" customWidth="1"/>
    <col min="6155" max="6155" width="11.28515625" style="138" hidden="1" customWidth="1"/>
    <col min="6156" max="6156" width="11.42578125" style="138" hidden="1" customWidth="1"/>
    <col min="6157" max="6157" width="10.7109375" style="138" hidden="1" customWidth="1"/>
    <col min="6158" max="6158" width="10.28515625" style="138" hidden="1" customWidth="1"/>
    <col min="6159" max="6159" width="11.5703125" style="138" hidden="1" customWidth="1"/>
    <col min="6160" max="6161" width="11.42578125" style="138" hidden="1" customWidth="1"/>
    <col min="6162" max="6162" width="10.85546875" style="138" hidden="1" customWidth="1"/>
    <col min="6163" max="6163" width="8.7109375" style="138" hidden="1" customWidth="1"/>
    <col min="6164" max="6164" width="6.28515625" style="138" hidden="1" customWidth="1"/>
    <col min="6165" max="6165" width="4" style="138" hidden="1" customWidth="1"/>
    <col min="6166" max="6166" width="8.7109375" style="138" hidden="1" customWidth="1"/>
    <col min="6167" max="6167" width="13.7109375" style="138" hidden="1" customWidth="1"/>
    <col min="6168" max="6168" width="20.7109375" style="138" hidden="1" customWidth="1"/>
    <col min="6169" max="6169" width="9.42578125" style="138" hidden="1" customWidth="1"/>
    <col min="6170" max="6170" width="3.28515625" style="138" hidden="1" customWidth="1"/>
    <col min="6171" max="6394" width="0" style="138" hidden="1"/>
    <col min="6395" max="6396" width="3.28515625" style="138" hidden="1" customWidth="1"/>
    <col min="6397" max="6397" width="30.7109375" style="138" hidden="1" customWidth="1"/>
    <col min="6398" max="6398" width="2.7109375" style="138" hidden="1" customWidth="1"/>
    <col min="6399" max="6399" width="12.85546875" style="138" hidden="1" customWidth="1"/>
    <col min="6400" max="6401" width="9.5703125" style="138" hidden="1" customWidth="1"/>
    <col min="6402" max="6402" width="7.42578125" style="138" hidden="1" customWidth="1"/>
    <col min="6403" max="6403" width="11.140625" style="138" hidden="1" customWidth="1"/>
    <col min="6404" max="6404" width="11.28515625" style="138" hidden="1" customWidth="1"/>
    <col min="6405" max="6405" width="11.7109375" style="138" hidden="1" customWidth="1"/>
    <col min="6406" max="6406" width="11.28515625" style="138" hidden="1" customWidth="1"/>
    <col min="6407" max="6407" width="10.7109375" style="138" hidden="1" customWidth="1"/>
    <col min="6408" max="6408" width="11.28515625" style="138" hidden="1" customWidth="1"/>
    <col min="6409" max="6409" width="11.42578125" style="138" hidden="1" customWidth="1"/>
    <col min="6410" max="6410" width="10.42578125" style="138" hidden="1" customWidth="1"/>
    <col min="6411" max="6411" width="11.28515625" style="138" hidden="1" customWidth="1"/>
    <col min="6412" max="6412" width="11.42578125" style="138" hidden="1" customWidth="1"/>
    <col min="6413" max="6413" width="10.7109375" style="138" hidden="1" customWidth="1"/>
    <col min="6414" max="6414" width="10.28515625" style="138" hidden="1" customWidth="1"/>
    <col min="6415" max="6415" width="11.5703125" style="138" hidden="1" customWidth="1"/>
    <col min="6416" max="6417" width="11.42578125" style="138" hidden="1" customWidth="1"/>
    <col min="6418" max="6418" width="10.85546875" style="138" hidden="1" customWidth="1"/>
    <col min="6419" max="6419" width="8.7109375" style="138" hidden="1" customWidth="1"/>
    <col min="6420" max="6420" width="6.28515625" style="138" hidden="1" customWidth="1"/>
    <col min="6421" max="6421" width="4" style="138" hidden="1" customWidth="1"/>
    <col min="6422" max="6422" width="8.7109375" style="138" hidden="1" customWidth="1"/>
    <col min="6423" max="6423" width="13.7109375" style="138" hidden="1" customWidth="1"/>
    <col min="6424" max="6424" width="20.7109375" style="138" hidden="1" customWidth="1"/>
    <col min="6425" max="6425" width="9.42578125" style="138" hidden="1" customWidth="1"/>
    <col min="6426" max="6426" width="3.28515625" style="138" hidden="1" customWidth="1"/>
    <col min="6427" max="6650" width="0" style="138" hidden="1"/>
    <col min="6651" max="6652" width="3.28515625" style="138" hidden="1" customWidth="1"/>
    <col min="6653" max="6653" width="30.7109375" style="138" hidden="1" customWidth="1"/>
    <col min="6654" max="6654" width="2.7109375" style="138" hidden="1" customWidth="1"/>
    <col min="6655" max="6655" width="12.85546875" style="138" hidden="1" customWidth="1"/>
    <col min="6656" max="6657" width="9.5703125" style="138" hidden="1" customWidth="1"/>
    <col min="6658" max="6658" width="7.42578125" style="138" hidden="1" customWidth="1"/>
    <col min="6659" max="6659" width="11.140625" style="138" hidden="1" customWidth="1"/>
    <col min="6660" max="6660" width="11.28515625" style="138" hidden="1" customWidth="1"/>
    <col min="6661" max="6661" width="11.7109375" style="138" hidden="1" customWidth="1"/>
    <col min="6662" max="6662" width="11.28515625" style="138" hidden="1" customWidth="1"/>
    <col min="6663" max="6663" width="10.7109375" style="138" hidden="1" customWidth="1"/>
    <col min="6664" max="6664" width="11.28515625" style="138" hidden="1" customWidth="1"/>
    <col min="6665" max="6665" width="11.42578125" style="138" hidden="1" customWidth="1"/>
    <col min="6666" max="6666" width="10.42578125" style="138" hidden="1" customWidth="1"/>
    <col min="6667" max="6667" width="11.28515625" style="138" hidden="1" customWidth="1"/>
    <col min="6668" max="6668" width="11.42578125" style="138" hidden="1" customWidth="1"/>
    <col min="6669" max="6669" width="10.7109375" style="138" hidden="1" customWidth="1"/>
    <col min="6670" max="6670" width="10.28515625" style="138" hidden="1" customWidth="1"/>
    <col min="6671" max="6671" width="11.5703125" style="138" hidden="1" customWidth="1"/>
    <col min="6672" max="6673" width="11.42578125" style="138" hidden="1" customWidth="1"/>
    <col min="6674" max="6674" width="10.85546875" style="138" hidden="1" customWidth="1"/>
    <col min="6675" max="6675" width="8.7109375" style="138" hidden="1" customWidth="1"/>
    <col min="6676" max="6676" width="6.28515625" style="138" hidden="1" customWidth="1"/>
    <col min="6677" max="6677" width="4" style="138" hidden="1" customWidth="1"/>
    <col min="6678" max="6678" width="8.7109375" style="138" hidden="1" customWidth="1"/>
    <col min="6679" max="6679" width="13.7109375" style="138" hidden="1" customWidth="1"/>
    <col min="6680" max="6680" width="20.7109375" style="138" hidden="1" customWidth="1"/>
    <col min="6681" max="6681" width="9.42578125" style="138" hidden="1" customWidth="1"/>
    <col min="6682" max="6682" width="3.28515625" style="138" hidden="1" customWidth="1"/>
    <col min="6683" max="6906" width="0" style="138" hidden="1"/>
    <col min="6907" max="6908" width="3.28515625" style="138" hidden="1" customWidth="1"/>
    <col min="6909" max="6909" width="30.7109375" style="138" hidden="1" customWidth="1"/>
    <col min="6910" max="6910" width="2.7109375" style="138" hidden="1" customWidth="1"/>
    <col min="6911" max="6911" width="12.85546875" style="138" hidden="1" customWidth="1"/>
    <col min="6912" max="6913" width="9.5703125" style="138" hidden="1" customWidth="1"/>
    <col min="6914" max="6914" width="7.42578125" style="138" hidden="1" customWidth="1"/>
    <col min="6915" max="6915" width="11.140625" style="138" hidden="1" customWidth="1"/>
    <col min="6916" max="6916" width="11.28515625" style="138" hidden="1" customWidth="1"/>
    <col min="6917" max="6917" width="11.7109375" style="138" hidden="1" customWidth="1"/>
    <col min="6918" max="6918" width="11.28515625" style="138" hidden="1" customWidth="1"/>
    <col min="6919" max="6919" width="10.7109375" style="138" hidden="1" customWidth="1"/>
    <col min="6920" max="6920" width="11.28515625" style="138" hidden="1" customWidth="1"/>
    <col min="6921" max="6921" width="11.42578125" style="138" hidden="1" customWidth="1"/>
    <col min="6922" max="6922" width="10.42578125" style="138" hidden="1" customWidth="1"/>
    <col min="6923" max="6923" width="11.28515625" style="138" hidden="1" customWidth="1"/>
    <col min="6924" max="6924" width="11.42578125" style="138" hidden="1" customWidth="1"/>
    <col min="6925" max="6925" width="10.7109375" style="138" hidden="1" customWidth="1"/>
    <col min="6926" max="6926" width="10.28515625" style="138" hidden="1" customWidth="1"/>
    <col min="6927" max="6927" width="11.5703125" style="138" hidden="1" customWidth="1"/>
    <col min="6928" max="6929" width="11.42578125" style="138" hidden="1" customWidth="1"/>
    <col min="6930" max="6930" width="10.85546875" style="138" hidden="1" customWidth="1"/>
    <col min="6931" max="6931" width="8.7109375" style="138" hidden="1" customWidth="1"/>
    <col min="6932" max="6932" width="6.28515625" style="138" hidden="1" customWidth="1"/>
    <col min="6933" max="6933" width="4" style="138" hidden="1" customWidth="1"/>
    <col min="6934" max="6934" width="8.7109375" style="138" hidden="1" customWidth="1"/>
    <col min="6935" max="6935" width="13.7109375" style="138" hidden="1" customWidth="1"/>
    <col min="6936" max="6936" width="20.7109375" style="138" hidden="1" customWidth="1"/>
    <col min="6937" max="6937" width="9.42578125" style="138" hidden="1" customWidth="1"/>
    <col min="6938" max="6938" width="3.28515625" style="138" hidden="1" customWidth="1"/>
    <col min="6939" max="7162" width="0" style="138" hidden="1"/>
    <col min="7163" max="7164" width="3.28515625" style="138" hidden="1" customWidth="1"/>
    <col min="7165" max="7165" width="30.7109375" style="138" hidden="1" customWidth="1"/>
    <col min="7166" max="7166" width="2.7109375" style="138" hidden="1" customWidth="1"/>
    <col min="7167" max="7167" width="12.85546875" style="138" hidden="1" customWidth="1"/>
    <col min="7168" max="7169" width="9.5703125" style="138" hidden="1" customWidth="1"/>
    <col min="7170" max="7170" width="7.42578125" style="138" hidden="1" customWidth="1"/>
    <col min="7171" max="7171" width="11.140625" style="138" hidden="1" customWidth="1"/>
    <col min="7172" max="7172" width="11.28515625" style="138" hidden="1" customWidth="1"/>
    <col min="7173" max="7173" width="11.7109375" style="138" hidden="1" customWidth="1"/>
    <col min="7174" max="7174" width="11.28515625" style="138" hidden="1" customWidth="1"/>
    <col min="7175" max="7175" width="10.7109375" style="138" hidden="1" customWidth="1"/>
    <col min="7176" max="7176" width="11.28515625" style="138" hidden="1" customWidth="1"/>
    <col min="7177" max="7177" width="11.42578125" style="138" hidden="1" customWidth="1"/>
    <col min="7178" max="7178" width="10.42578125" style="138" hidden="1" customWidth="1"/>
    <col min="7179" max="7179" width="11.28515625" style="138" hidden="1" customWidth="1"/>
    <col min="7180" max="7180" width="11.42578125" style="138" hidden="1" customWidth="1"/>
    <col min="7181" max="7181" width="10.7109375" style="138" hidden="1" customWidth="1"/>
    <col min="7182" max="7182" width="10.28515625" style="138" hidden="1" customWidth="1"/>
    <col min="7183" max="7183" width="11.5703125" style="138" hidden="1" customWidth="1"/>
    <col min="7184" max="7185" width="11.42578125" style="138" hidden="1" customWidth="1"/>
    <col min="7186" max="7186" width="10.85546875" style="138" hidden="1" customWidth="1"/>
    <col min="7187" max="7187" width="8.7109375" style="138" hidden="1" customWidth="1"/>
    <col min="7188" max="7188" width="6.28515625" style="138" hidden="1" customWidth="1"/>
    <col min="7189" max="7189" width="4" style="138" hidden="1" customWidth="1"/>
    <col min="7190" max="7190" width="8.7109375" style="138" hidden="1" customWidth="1"/>
    <col min="7191" max="7191" width="13.7109375" style="138" hidden="1" customWidth="1"/>
    <col min="7192" max="7192" width="20.7109375" style="138" hidden="1" customWidth="1"/>
    <col min="7193" max="7193" width="9.42578125" style="138" hidden="1" customWidth="1"/>
    <col min="7194" max="7194" width="3.28515625" style="138" hidden="1" customWidth="1"/>
    <col min="7195" max="7418" width="0" style="138" hidden="1"/>
    <col min="7419" max="7420" width="3.28515625" style="138" hidden="1" customWidth="1"/>
    <col min="7421" max="7421" width="30.7109375" style="138" hidden="1" customWidth="1"/>
    <col min="7422" max="7422" width="2.7109375" style="138" hidden="1" customWidth="1"/>
    <col min="7423" max="7423" width="12.85546875" style="138" hidden="1" customWidth="1"/>
    <col min="7424" max="7425" width="9.5703125" style="138" hidden="1" customWidth="1"/>
    <col min="7426" max="7426" width="7.42578125" style="138" hidden="1" customWidth="1"/>
    <col min="7427" max="7427" width="11.140625" style="138" hidden="1" customWidth="1"/>
    <col min="7428" max="7428" width="11.28515625" style="138" hidden="1" customWidth="1"/>
    <col min="7429" max="7429" width="11.7109375" style="138" hidden="1" customWidth="1"/>
    <col min="7430" max="7430" width="11.28515625" style="138" hidden="1" customWidth="1"/>
    <col min="7431" max="7431" width="10.7109375" style="138" hidden="1" customWidth="1"/>
    <col min="7432" max="7432" width="11.28515625" style="138" hidden="1" customWidth="1"/>
    <col min="7433" max="7433" width="11.42578125" style="138" hidden="1" customWidth="1"/>
    <col min="7434" max="7434" width="10.42578125" style="138" hidden="1" customWidth="1"/>
    <col min="7435" max="7435" width="11.28515625" style="138" hidden="1" customWidth="1"/>
    <col min="7436" max="7436" width="11.42578125" style="138" hidden="1" customWidth="1"/>
    <col min="7437" max="7437" width="10.7109375" style="138" hidden="1" customWidth="1"/>
    <col min="7438" max="7438" width="10.28515625" style="138" hidden="1" customWidth="1"/>
    <col min="7439" max="7439" width="11.5703125" style="138" hidden="1" customWidth="1"/>
    <col min="7440" max="7441" width="11.42578125" style="138" hidden="1" customWidth="1"/>
    <col min="7442" max="7442" width="10.85546875" style="138" hidden="1" customWidth="1"/>
    <col min="7443" max="7443" width="8.7109375" style="138" hidden="1" customWidth="1"/>
    <col min="7444" max="7444" width="6.28515625" style="138" hidden="1" customWidth="1"/>
    <col min="7445" max="7445" width="4" style="138" hidden="1" customWidth="1"/>
    <col min="7446" max="7446" width="8.7109375" style="138" hidden="1" customWidth="1"/>
    <col min="7447" max="7447" width="13.7109375" style="138" hidden="1" customWidth="1"/>
    <col min="7448" max="7448" width="20.7109375" style="138" hidden="1" customWidth="1"/>
    <col min="7449" max="7449" width="9.42578125" style="138" hidden="1" customWidth="1"/>
    <col min="7450" max="7450" width="3.28515625" style="138" hidden="1" customWidth="1"/>
    <col min="7451" max="7674" width="0" style="138" hidden="1"/>
    <col min="7675" max="7676" width="3.28515625" style="138" hidden="1" customWidth="1"/>
    <col min="7677" max="7677" width="30.7109375" style="138" hidden="1" customWidth="1"/>
    <col min="7678" max="7678" width="2.7109375" style="138" hidden="1" customWidth="1"/>
    <col min="7679" max="7679" width="12.85546875" style="138" hidden="1" customWidth="1"/>
    <col min="7680" max="7681" width="9.5703125" style="138" hidden="1" customWidth="1"/>
    <col min="7682" max="7682" width="7.42578125" style="138" hidden="1" customWidth="1"/>
    <col min="7683" max="7683" width="11.140625" style="138" hidden="1" customWidth="1"/>
    <col min="7684" max="7684" width="11.28515625" style="138" hidden="1" customWidth="1"/>
    <col min="7685" max="7685" width="11.7109375" style="138" hidden="1" customWidth="1"/>
    <col min="7686" max="7686" width="11.28515625" style="138" hidden="1" customWidth="1"/>
    <col min="7687" max="7687" width="10.7109375" style="138" hidden="1" customWidth="1"/>
    <col min="7688" max="7688" width="11.28515625" style="138" hidden="1" customWidth="1"/>
    <col min="7689" max="7689" width="11.42578125" style="138" hidden="1" customWidth="1"/>
    <col min="7690" max="7690" width="10.42578125" style="138" hidden="1" customWidth="1"/>
    <col min="7691" max="7691" width="11.28515625" style="138" hidden="1" customWidth="1"/>
    <col min="7692" max="7692" width="11.42578125" style="138" hidden="1" customWidth="1"/>
    <col min="7693" max="7693" width="10.7109375" style="138" hidden="1" customWidth="1"/>
    <col min="7694" max="7694" width="10.28515625" style="138" hidden="1" customWidth="1"/>
    <col min="7695" max="7695" width="11.5703125" style="138" hidden="1" customWidth="1"/>
    <col min="7696" max="7697" width="11.42578125" style="138" hidden="1" customWidth="1"/>
    <col min="7698" max="7698" width="10.85546875" style="138" hidden="1" customWidth="1"/>
    <col min="7699" max="7699" width="8.7109375" style="138" hidden="1" customWidth="1"/>
    <col min="7700" max="7700" width="6.28515625" style="138" hidden="1" customWidth="1"/>
    <col min="7701" max="7701" width="4" style="138" hidden="1" customWidth="1"/>
    <col min="7702" max="7702" width="8.7109375" style="138" hidden="1" customWidth="1"/>
    <col min="7703" max="7703" width="13.7109375" style="138" hidden="1" customWidth="1"/>
    <col min="7704" max="7704" width="20.7109375" style="138" hidden="1" customWidth="1"/>
    <col min="7705" max="7705" width="9.42578125" style="138" hidden="1" customWidth="1"/>
    <col min="7706" max="7706" width="3.28515625" style="138" hidden="1" customWidth="1"/>
    <col min="7707" max="7930" width="0" style="138" hidden="1"/>
    <col min="7931" max="7932" width="3.28515625" style="138" hidden="1" customWidth="1"/>
    <col min="7933" max="7933" width="30.7109375" style="138" hidden="1" customWidth="1"/>
    <col min="7934" max="7934" width="2.7109375" style="138" hidden="1" customWidth="1"/>
    <col min="7935" max="7935" width="12.85546875" style="138" hidden="1" customWidth="1"/>
    <col min="7936" max="7937" width="9.5703125" style="138" hidden="1" customWidth="1"/>
    <col min="7938" max="7938" width="7.42578125" style="138" hidden="1" customWidth="1"/>
    <col min="7939" max="7939" width="11.140625" style="138" hidden="1" customWidth="1"/>
    <col min="7940" max="7940" width="11.28515625" style="138" hidden="1" customWidth="1"/>
    <col min="7941" max="7941" width="11.7109375" style="138" hidden="1" customWidth="1"/>
    <col min="7942" max="7942" width="11.28515625" style="138" hidden="1" customWidth="1"/>
    <col min="7943" max="7943" width="10.7109375" style="138" hidden="1" customWidth="1"/>
    <col min="7944" max="7944" width="11.28515625" style="138" hidden="1" customWidth="1"/>
    <col min="7945" max="7945" width="11.42578125" style="138" hidden="1" customWidth="1"/>
    <col min="7946" max="7946" width="10.42578125" style="138" hidden="1" customWidth="1"/>
    <col min="7947" max="7947" width="11.28515625" style="138" hidden="1" customWidth="1"/>
    <col min="7948" max="7948" width="11.42578125" style="138" hidden="1" customWidth="1"/>
    <col min="7949" max="7949" width="10.7109375" style="138" hidden="1" customWidth="1"/>
    <col min="7950" max="7950" width="10.28515625" style="138" hidden="1" customWidth="1"/>
    <col min="7951" max="7951" width="11.5703125" style="138" hidden="1" customWidth="1"/>
    <col min="7952" max="7953" width="11.42578125" style="138" hidden="1" customWidth="1"/>
    <col min="7954" max="7954" width="10.85546875" style="138" hidden="1" customWidth="1"/>
    <col min="7955" max="7955" width="8.7109375" style="138" hidden="1" customWidth="1"/>
    <col min="7956" max="7956" width="6.28515625" style="138" hidden="1" customWidth="1"/>
    <col min="7957" max="7957" width="4" style="138" hidden="1" customWidth="1"/>
    <col min="7958" max="7958" width="8.7109375" style="138" hidden="1" customWidth="1"/>
    <col min="7959" max="7959" width="13.7109375" style="138" hidden="1" customWidth="1"/>
    <col min="7960" max="7960" width="20.7109375" style="138" hidden="1" customWidth="1"/>
    <col min="7961" max="7961" width="9.42578125" style="138" hidden="1" customWidth="1"/>
    <col min="7962" max="7962" width="3.28515625" style="138" hidden="1" customWidth="1"/>
    <col min="7963" max="8186" width="0" style="138" hidden="1"/>
    <col min="8187" max="8188" width="3.28515625" style="138" hidden="1" customWidth="1"/>
    <col min="8189" max="8189" width="30.7109375" style="138" hidden="1" customWidth="1"/>
    <col min="8190" max="8190" width="2.7109375" style="138" hidden="1" customWidth="1"/>
    <col min="8191" max="8191" width="12.85546875" style="138" hidden="1" customWidth="1"/>
    <col min="8192" max="8193" width="9.5703125" style="138" hidden="1" customWidth="1"/>
    <col min="8194" max="8194" width="7.42578125" style="138" hidden="1" customWidth="1"/>
    <col min="8195" max="8195" width="11.140625" style="138" hidden="1" customWidth="1"/>
    <col min="8196" max="8196" width="11.28515625" style="138" hidden="1" customWidth="1"/>
    <col min="8197" max="8197" width="11.7109375" style="138" hidden="1" customWidth="1"/>
    <col min="8198" max="8198" width="11.28515625" style="138" hidden="1" customWidth="1"/>
    <col min="8199" max="8199" width="10.7109375" style="138" hidden="1" customWidth="1"/>
    <col min="8200" max="8200" width="11.28515625" style="138" hidden="1" customWidth="1"/>
    <col min="8201" max="8201" width="11.42578125" style="138" hidden="1" customWidth="1"/>
    <col min="8202" max="8202" width="10.42578125" style="138" hidden="1" customWidth="1"/>
    <col min="8203" max="8203" width="11.28515625" style="138" hidden="1" customWidth="1"/>
    <col min="8204" max="8204" width="11.42578125" style="138" hidden="1" customWidth="1"/>
    <col min="8205" max="8205" width="10.7109375" style="138" hidden="1" customWidth="1"/>
    <col min="8206" max="8206" width="10.28515625" style="138" hidden="1" customWidth="1"/>
    <col min="8207" max="8207" width="11.5703125" style="138" hidden="1" customWidth="1"/>
    <col min="8208" max="8209" width="11.42578125" style="138" hidden="1" customWidth="1"/>
    <col min="8210" max="8210" width="10.85546875" style="138" hidden="1" customWidth="1"/>
    <col min="8211" max="8211" width="8.7109375" style="138" hidden="1" customWidth="1"/>
    <col min="8212" max="8212" width="6.28515625" style="138" hidden="1" customWidth="1"/>
    <col min="8213" max="8213" width="4" style="138" hidden="1" customWidth="1"/>
    <col min="8214" max="8214" width="8.7109375" style="138" hidden="1" customWidth="1"/>
    <col min="8215" max="8215" width="13.7109375" style="138" hidden="1" customWidth="1"/>
    <col min="8216" max="8216" width="20.7109375" style="138" hidden="1" customWidth="1"/>
    <col min="8217" max="8217" width="9.42578125" style="138" hidden="1" customWidth="1"/>
    <col min="8218" max="8218" width="3.28515625" style="138" hidden="1" customWidth="1"/>
    <col min="8219" max="8442" width="0" style="138" hidden="1"/>
    <col min="8443" max="8444" width="3.28515625" style="138" hidden="1" customWidth="1"/>
    <col min="8445" max="8445" width="30.7109375" style="138" hidden="1" customWidth="1"/>
    <col min="8446" max="8446" width="2.7109375" style="138" hidden="1" customWidth="1"/>
    <col min="8447" max="8447" width="12.85546875" style="138" hidden="1" customWidth="1"/>
    <col min="8448" max="8449" width="9.5703125" style="138" hidden="1" customWidth="1"/>
    <col min="8450" max="8450" width="7.42578125" style="138" hidden="1" customWidth="1"/>
    <col min="8451" max="8451" width="11.140625" style="138" hidden="1" customWidth="1"/>
    <col min="8452" max="8452" width="11.28515625" style="138" hidden="1" customWidth="1"/>
    <col min="8453" max="8453" width="11.7109375" style="138" hidden="1" customWidth="1"/>
    <col min="8454" max="8454" width="11.28515625" style="138" hidden="1" customWidth="1"/>
    <col min="8455" max="8455" width="10.7109375" style="138" hidden="1" customWidth="1"/>
    <col min="8456" max="8456" width="11.28515625" style="138" hidden="1" customWidth="1"/>
    <col min="8457" max="8457" width="11.42578125" style="138" hidden="1" customWidth="1"/>
    <col min="8458" max="8458" width="10.42578125" style="138" hidden="1" customWidth="1"/>
    <col min="8459" max="8459" width="11.28515625" style="138" hidden="1" customWidth="1"/>
    <col min="8460" max="8460" width="11.42578125" style="138" hidden="1" customWidth="1"/>
    <col min="8461" max="8461" width="10.7109375" style="138" hidden="1" customWidth="1"/>
    <col min="8462" max="8462" width="10.28515625" style="138" hidden="1" customWidth="1"/>
    <col min="8463" max="8463" width="11.5703125" style="138" hidden="1" customWidth="1"/>
    <col min="8464" max="8465" width="11.42578125" style="138" hidden="1" customWidth="1"/>
    <col min="8466" max="8466" width="10.85546875" style="138" hidden="1" customWidth="1"/>
    <col min="8467" max="8467" width="8.7109375" style="138" hidden="1" customWidth="1"/>
    <col min="8468" max="8468" width="6.28515625" style="138" hidden="1" customWidth="1"/>
    <col min="8469" max="8469" width="4" style="138" hidden="1" customWidth="1"/>
    <col min="8470" max="8470" width="8.7109375" style="138" hidden="1" customWidth="1"/>
    <col min="8471" max="8471" width="13.7109375" style="138" hidden="1" customWidth="1"/>
    <col min="8472" max="8472" width="20.7109375" style="138" hidden="1" customWidth="1"/>
    <col min="8473" max="8473" width="9.42578125" style="138" hidden="1" customWidth="1"/>
    <col min="8474" max="8474" width="3.28515625" style="138" hidden="1" customWidth="1"/>
    <col min="8475" max="8698" width="0" style="138" hidden="1"/>
    <col min="8699" max="8700" width="3.28515625" style="138" hidden="1" customWidth="1"/>
    <col min="8701" max="8701" width="30.7109375" style="138" hidden="1" customWidth="1"/>
    <col min="8702" max="8702" width="2.7109375" style="138" hidden="1" customWidth="1"/>
    <col min="8703" max="8703" width="12.85546875" style="138" hidden="1" customWidth="1"/>
    <col min="8704" max="8705" width="9.5703125" style="138" hidden="1" customWidth="1"/>
    <col min="8706" max="8706" width="7.42578125" style="138" hidden="1" customWidth="1"/>
    <col min="8707" max="8707" width="11.140625" style="138" hidden="1" customWidth="1"/>
    <col min="8708" max="8708" width="11.28515625" style="138" hidden="1" customWidth="1"/>
    <col min="8709" max="8709" width="11.7109375" style="138" hidden="1" customWidth="1"/>
    <col min="8710" max="8710" width="11.28515625" style="138" hidden="1" customWidth="1"/>
    <col min="8711" max="8711" width="10.7109375" style="138" hidden="1" customWidth="1"/>
    <col min="8712" max="8712" width="11.28515625" style="138" hidden="1" customWidth="1"/>
    <col min="8713" max="8713" width="11.42578125" style="138" hidden="1" customWidth="1"/>
    <col min="8714" max="8714" width="10.42578125" style="138" hidden="1" customWidth="1"/>
    <col min="8715" max="8715" width="11.28515625" style="138" hidden="1" customWidth="1"/>
    <col min="8716" max="8716" width="11.42578125" style="138" hidden="1" customWidth="1"/>
    <col min="8717" max="8717" width="10.7109375" style="138" hidden="1" customWidth="1"/>
    <col min="8718" max="8718" width="10.28515625" style="138" hidden="1" customWidth="1"/>
    <col min="8719" max="8719" width="11.5703125" style="138" hidden="1" customWidth="1"/>
    <col min="8720" max="8721" width="11.42578125" style="138" hidden="1" customWidth="1"/>
    <col min="8722" max="8722" width="10.85546875" style="138" hidden="1" customWidth="1"/>
    <col min="8723" max="8723" width="8.7109375" style="138" hidden="1" customWidth="1"/>
    <col min="8724" max="8724" width="6.28515625" style="138" hidden="1" customWidth="1"/>
    <col min="8725" max="8725" width="4" style="138" hidden="1" customWidth="1"/>
    <col min="8726" max="8726" width="8.7109375" style="138" hidden="1" customWidth="1"/>
    <col min="8727" max="8727" width="13.7109375" style="138" hidden="1" customWidth="1"/>
    <col min="8728" max="8728" width="20.7109375" style="138" hidden="1" customWidth="1"/>
    <col min="8729" max="8729" width="9.42578125" style="138" hidden="1" customWidth="1"/>
    <col min="8730" max="8730" width="3.28515625" style="138" hidden="1" customWidth="1"/>
    <col min="8731" max="8954" width="0" style="138" hidden="1"/>
    <col min="8955" max="8956" width="3.28515625" style="138" hidden="1" customWidth="1"/>
    <col min="8957" max="8957" width="30.7109375" style="138" hidden="1" customWidth="1"/>
    <col min="8958" max="8958" width="2.7109375" style="138" hidden="1" customWidth="1"/>
    <col min="8959" max="8959" width="12.85546875" style="138" hidden="1" customWidth="1"/>
    <col min="8960" max="8961" width="9.5703125" style="138" hidden="1" customWidth="1"/>
    <col min="8962" max="8962" width="7.42578125" style="138" hidden="1" customWidth="1"/>
    <col min="8963" max="8963" width="11.140625" style="138" hidden="1" customWidth="1"/>
    <col min="8964" max="8964" width="11.28515625" style="138" hidden="1" customWidth="1"/>
    <col min="8965" max="8965" width="11.7109375" style="138" hidden="1" customWidth="1"/>
    <col min="8966" max="8966" width="11.28515625" style="138" hidden="1" customWidth="1"/>
    <col min="8967" max="8967" width="10.7109375" style="138" hidden="1" customWidth="1"/>
    <col min="8968" max="8968" width="11.28515625" style="138" hidden="1" customWidth="1"/>
    <col min="8969" max="8969" width="11.42578125" style="138" hidden="1" customWidth="1"/>
    <col min="8970" max="8970" width="10.42578125" style="138" hidden="1" customWidth="1"/>
    <col min="8971" max="8971" width="11.28515625" style="138" hidden="1" customWidth="1"/>
    <col min="8972" max="8972" width="11.42578125" style="138" hidden="1" customWidth="1"/>
    <col min="8973" max="8973" width="10.7109375" style="138" hidden="1" customWidth="1"/>
    <col min="8974" max="8974" width="10.28515625" style="138" hidden="1" customWidth="1"/>
    <col min="8975" max="8975" width="11.5703125" style="138" hidden="1" customWidth="1"/>
    <col min="8976" max="8977" width="11.42578125" style="138" hidden="1" customWidth="1"/>
    <col min="8978" max="8978" width="10.85546875" style="138" hidden="1" customWidth="1"/>
    <col min="8979" max="8979" width="8.7109375" style="138" hidden="1" customWidth="1"/>
    <col min="8980" max="8980" width="6.28515625" style="138" hidden="1" customWidth="1"/>
    <col min="8981" max="8981" width="4" style="138" hidden="1" customWidth="1"/>
    <col min="8982" max="8982" width="8.7109375" style="138" hidden="1" customWidth="1"/>
    <col min="8983" max="8983" width="13.7109375" style="138" hidden="1" customWidth="1"/>
    <col min="8984" max="8984" width="20.7109375" style="138" hidden="1" customWidth="1"/>
    <col min="8985" max="8985" width="9.42578125" style="138" hidden="1" customWidth="1"/>
    <col min="8986" max="8986" width="3.28515625" style="138" hidden="1" customWidth="1"/>
    <col min="8987" max="9210" width="0" style="138" hidden="1"/>
    <col min="9211" max="9212" width="3.28515625" style="138" hidden="1" customWidth="1"/>
    <col min="9213" max="9213" width="30.7109375" style="138" hidden="1" customWidth="1"/>
    <col min="9214" max="9214" width="2.7109375" style="138" hidden="1" customWidth="1"/>
    <col min="9215" max="9215" width="12.85546875" style="138" hidden="1" customWidth="1"/>
    <col min="9216" max="9217" width="9.5703125" style="138" hidden="1" customWidth="1"/>
    <col min="9218" max="9218" width="7.42578125" style="138" hidden="1" customWidth="1"/>
    <col min="9219" max="9219" width="11.140625" style="138" hidden="1" customWidth="1"/>
    <col min="9220" max="9220" width="11.28515625" style="138" hidden="1" customWidth="1"/>
    <col min="9221" max="9221" width="11.7109375" style="138" hidden="1" customWidth="1"/>
    <col min="9222" max="9222" width="11.28515625" style="138" hidden="1" customWidth="1"/>
    <col min="9223" max="9223" width="10.7109375" style="138" hidden="1" customWidth="1"/>
    <col min="9224" max="9224" width="11.28515625" style="138" hidden="1" customWidth="1"/>
    <col min="9225" max="9225" width="11.42578125" style="138" hidden="1" customWidth="1"/>
    <col min="9226" max="9226" width="10.42578125" style="138" hidden="1" customWidth="1"/>
    <col min="9227" max="9227" width="11.28515625" style="138" hidden="1" customWidth="1"/>
    <col min="9228" max="9228" width="11.42578125" style="138" hidden="1" customWidth="1"/>
    <col min="9229" max="9229" width="10.7109375" style="138" hidden="1" customWidth="1"/>
    <col min="9230" max="9230" width="10.28515625" style="138" hidden="1" customWidth="1"/>
    <col min="9231" max="9231" width="11.5703125" style="138" hidden="1" customWidth="1"/>
    <col min="9232" max="9233" width="11.42578125" style="138" hidden="1" customWidth="1"/>
    <col min="9234" max="9234" width="10.85546875" style="138" hidden="1" customWidth="1"/>
    <col min="9235" max="9235" width="8.7109375" style="138" hidden="1" customWidth="1"/>
    <col min="9236" max="9236" width="6.28515625" style="138" hidden="1" customWidth="1"/>
    <col min="9237" max="9237" width="4" style="138" hidden="1" customWidth="1"/>
    <col min="9238" max="9238" width="8.7109375" style="138" hidden="1" customWidth="1"/>
    <col min="9239" max="9239" width="13.7109375" style="138" hidden="1" customWidth="1"/>
    <col min="9240" max="9240" width="20.7109375" style="138" hidden="1" customWidth="1"/>
    <col min="9241" max="9241" width="9.42578125" style="138" hidden="1" customWidth="1"/>
    <col min="9242" max="9242" width="3.28515625" style="138" hidden="1" customWidth="1"/>
    <col min="9243" max="9466" width="0" style="138" hidden="1"/>
    <col min="9467" max="9468" width="3.28515625" style="138" hidden="1" customWidth="1"/>
    <col min="9469" max="9469" width="30.7109375" style="138" hidden="1" customWidth="1"/>
    <col min="9470" max="9470" width="2.7109375" style="138" hidden="1" customWidth="1"/>
    <col min="9471" max="9471" width="12.85546875" style="138" hidden="1" customWidth="1"/>
    <col min="9472" max="9473" width="9.5703125" style="138" hidden="1" customWidth="1"/>
    <col min="9474" max="9474" width="7.42578125" style="138" hidden="1" customWidth="1"/>
    <col min="9475" max="9475" width="11.140625" style="138" hidden="1" customWidth="1"/>
    <col min="9476" max="9476" width="11.28515625" style="138" hidden="1" customWidth="1"/>
    <col min="9477" max="9477" width="11.7109375" style="138" hidden="1" customWidth="1"/>
    <col min="9478" max="9478" width="11.28515625" style="138" hidden="1" customWidth="1"/>
    <col min="9479" max="9479" width="10.7109375" style="138" hidden="1" customWidth="1"/>
    <col min="9480" max="9480" width="11.28515625" style="138" hidden="1" customWidth="1"/>
    <col min="9481" max="9481" width="11.42578125" style="138" hidden="1" customWidth="1"/>
    <col min="9482" max="9482" width="10.42578125" style="138" hidden="1" customWidth="1"/>
    <col min="9483" max="9483" width="11.28515625" style="138" hidden="1" customWidth="1"/>
    <col min="9484" max="9484" width="11.42578125" style="138" hidden="1" customWidth="1"/>
    <col min="9485" max="9485" width="10.7109375" style="138" hidden="1" customWidth="1"/>
    <col min="9486" max="9486" width="10.28515625" style="138" hidden="1" customWidth="1"/>
    <col min="9487" max="9487" width="11.5703125" style="138" hidden="1" customWidth="1"/>
    <col min="9488" max="9489" width="11.42578125" style="138" hidden="1" customWidth="1"/>
    <col min="9490" max="9490" width="10.85546875" style="138" hidden="1" customWidth="1"/>
    <col min="9491" max="9491" width="8.7109375" style="138" hidden="1" customWidth="1"/>
    <col min="9492" max="9492" width="6.28515625" style="138" hidden="1" customWidth="1"/>
    <col min="9493" max="9493" width="4" style="138" hidden="1" customWidth="1"/>
    <col min="9494" max="9494" width="8.7109375" style="138" hidden="1" customWidth="1"/>
    <col min="9495" max="9495" width="13.7109375" style="138" hidden="1" customWidth="1"/>
    <col min="9496" max="9496" width="20.7109375" style="138" hidden="1" customWidth="1"/>
    <col min="9497" max="9497" width="9.42578125" style="138" hidden="1" customWidth="1"/>
    <col min="9498" max="9498" width="3.28515625" style="138" hidden="1" customWidth="1"/>
    <col min="9499" max="9722" width="0" style="138" hidden="1"/>
    <col min="9723" max="9724" width="3.28515625" style="138" hidden="1" customWidth="1"/>
    <col min="9725" max="9725" width="30.7109375" style="138" hidden="1" customWidth="1"/>
    <col min="9726" max="9726" width="2.7109375" style="138" hidden="1" customWidth="1"/>
    <col min="9727" max="9727" width="12.85546875" style="138" hidden="1" customWidth="1"/>
    <col min="9728" max="9729" width="9.5703125" style="138" hidden="1" customWidth="1"/>
    <col min="9730" max="9730" width="7.42578125" style="138" hidden="1" customWidth="1"/>
    <col min="9731" max="9731" width="11.140625" style="138" hidden="1" customWidth="1"/>
    <col min="9732" max="9732" width="11.28515625" style="138" hidden="1" customWidth="1"/>
    <col min="9733" max="9733" width="11.7109375" style="138" hidden="1" customWidth="1"/>
    <col min="9734" max="9734" width="11.28515625" style="138" hidden="1" customWidth="1"/>
    <col min="9735" max="9735" width="10.7109375" style="138" hidden="1" customWidth="1"/>
    <col min="9736" max="9736" width="11.28515625" style="138" hidden="1" customWidth="1"/>
    <col min="9737" max="9737" width="11.42578125" style="138" hidden="1" customWidth="1"/>
    <col min="9738" max="9738" width="10.42578125" style="138" hidden="1" customWidth="1"/>
    <col min="9739" max="9739" width="11.28515625" style="138" hidden="1" customWidth="1"/>
    <col min="9740" max="9740" width="11.42578125" style="138" hidden="1" customWidth="1"/>
    <col min="9741" max="9741" width="10.7109375" style="138" hidden="1" customWidth="1"/>
    <col min="9742" max="9742" width="10.28515625" style="138" hidden="1" customWidth="1"/>
    <col min="9743" max="9743" width="11.5703125" style="138" hidden="1" customWidth="1"/>
    <col min="9744" max="9745" width="11.42578125" style="138" hidden="1" customWidth="1"/>
    <col min="9746" max="9746" width="10.85546875" style="138" hidden="1" customWidth="1"/>
    <col min="9747" max="9747" width="8.7109375" style="138" hidden="1" customWidth="1"/>
    <col min="9748" max="9748" width="6.28515625" style="138" hidden="1" customWidth="1"/>
    <col min="9749" max="9749" width="4" style="138" hidden="1" customWidth="1"/>
    <col min="9750" max="9750" width="8.7109375" style="138" hidden="1" customWidth="1"/>
    <col min="9751" max="9751" width="13.7109375" style="138" hidden="1" customWidth="1"/>
    <col min="9752" max="9752" width="20.7109375" style="138" hidden="1" customWidth="1"/>
    <col min="9753" max="9753" width="9.42578125" style="138" hidden="1" customWidth="1"/>
    <col min="9754" max="9754" width="3.28515625" style="138" hidden="1" customWidth="1"/>
    <col min="9755" max="9978" width="0" style="138" hidden="1"/>
    <col min="9979" max="9980" width="3.28515625" style="138" hidden="1" customWidth="1"/>
    <col min="9981" max="9981" width="30.7109375" style="138" hidden="1" customWidth="1"/>
    <col min="9982" max="9982" width="2.7109375" style="138" hidden="1" customWidth="1"/>
    <col min="9983" max="9983" width="12.85546875" style="138" hidden="1" customWidth="1"/>
    <col min="9984" max="9985" width="9.5703125" style="138" hidden="1" customWidth="1"/>
    <col min="9986" max="9986" width="7.42578125" style="138" hidden="1" customWidth="1"/>
    <col min="9987" max="9987" width="11.140625" style="138" hidden="1" customWidth="1"/>
    <col min="9988" max="9988" width="11.28515625" style="138" hidden="1" customWidth="1"/>
    <col min="9989" max="9989" width="11.7109375" style="138" hidden="1" customWidth="1"/>
    <col min="9990" max="9990" width="11.28515625" style="138" hidden="1" customWidth="1"/>
    <col min="9991" max="9991" width="10.7109375" style="138" hidden="1" customWidth="1"/>
    <col min="9992" max="9992" width="11.28515625" style="138" hidden="1" customWidth="1"/>
    <col min="9993" max="9993" width="11.42578125" style="138" hidden="1" customWidth="1"/>
    <col min="9994" max="9994" width="10.42578125" style="138" hidden="1" customWidth="1"/>
    <col min="9995" max="9995" width="11.28515625" style="138" hidden="1" customWidth="1"/>
    <col min="9996" max="9996" width="11.42578125" style="138" hidden="1" customWidth="1"/>
    <col min="9997" max="9997" width="10.7109375" style="138" hidden="1" customWidth="1"/>
    <col min="9998" max="9998" width="10.28515625" style="138" hidden="1" customWidth="1"/>
    <col min="9999" max="9999" width="11.5703125" style="138" hidden="1" customWidth="1"/>
    <col min="10000" max="10001" width="11.42578125" style="138" hidden="1" customWidth="1"/>
    <col min="10002" max="10002" width="10.85546875" style="138" hidden="1" customWidth="1"/>
    <col min="10003" max="10003" width="8.7109375" style="138" hidden="1" customWidth="1"/>
    <col min="10004" max="10004" width="6.28515625" style="138" hidden="1" customWidth="1"/>
    <col min="10005" max="10005" width="4" style="138" hidden="1" customWidth="1"/>
    <col min="10006" max="10006" width="8.7109375" style="138" hidden="1" customWidth="1"/>
    <col min="10007" max="10007" width="13.7109375" style="138" hidden="1" customWidth="1"/>
    <col min="10008" max="10008" width="20.7109375" style="138" hidden="1" customWidth="1"/>
    <col min="10009" max="10009" width="9.42578125" style="138" hidden="1" customWidth="1"/>
    <col min="10010" max="10010" width="3.28515625" style="138" hidden="1" customWidth="1"/>
    <col min="10011" max="10234" width="0" style="138" hidden="1"/>
    <col min="10235" max="10236" width="3.28515625" style="138" hidden="1" customWidth="1"/>
    <col min="10237" max="10237" width="30.7109375" style="138" hidden="1" customWidth="1"/>
    <col min="10238" max="10238" width="2.7109375" style="138" hidden="1" customWidth="1"/>
    <col min="10239" max="10239" width="12.85546875" style="138" hidden="1" customWidth="1"/>
    <col min="10240" max="10241" width="9.5703125" style="138" hidden="1" customWidth="1"/>
    <col min="10242" max="10242" width="7.42578125" style="138" hidden="1" customWidth="1"/>
    <col min="10243" max="10243" width="11.140625" style="138" hidden="1" customWidth="1"/>
    <col min="10244" max="10244" width="11.28515625" style="138" hidden="1" customWidth="1"/>
    <col min="10245" max="10245" width="11.7109375" style="138" hidden="1" customWidth="1"/>
    <col min="10246" max="10246" width="11.28515625" style="138" hidden="1" customWidth="1"/>
    <col min="10247" max="10247" width="10.7109375" style="138" hidden="1" customWidth="1"/>
    <col min="10248" max="10248" width="11.28515625" style="138" hidden="1" customWidth="1"/>
    <col min="10249" max="10249" width="11.42578125" style="138" hidden="1" customWidth="1"/>
    <col min="10250" max="10250" width="10.42578125" style="138" hidden="1" customWidth="1"/>
    <col min="10251" max="10251" width="11.28515625" style="138" hidden="1" customWidth="1"/>
    <col min="10252" max="10252" width="11.42578125" style="138" hidden="1" customWidth="1"/>
    <col min="10253" max="10253" width="10.7109375" style="138" hidden="1" customWidth="1"/>
    <col min="10254" max="10254" width="10.28515625" style="138" hidden="1" customWidth="1"/>
    <col min="10255" max="10255" width="11.5703125" style="138" hidden="1" customWidth="1"/>
    <col min="10256" max="10257" width="11.42578125" style="138" hidden="1" customWidth="1"/>
    <col min="10258" max="10258" width="10.85546875" style="138" hidden="1" customWidth="1"/>
    <col min="10259" max="10259" width="8.7109375" style="138" hidden="1" customWidth="1"/>
    <col min="10260" max="10260" width="6.28515625" style="138" hidden="1" customWidth="1"/>
    <col min="10261" max="10261" width="4" style="138" hidden="1" customWidth="1"/>
    <col min="10262" max="10262" width="8.7109375" style="138" hidden="1" customWidth="1"/>
    <col min="10263" max="10263" width="13.7109375" style="138" hidden="1" customWidth="1"/>
    <col min="10264" max="10264" width="20.7109375" style="138" hidden="1" customWidth="1"/>
    <col min="10265" max="10265" width="9.42578125" style="138" hidden="1" customWidth="1"/>
    <col min="10266" max="10266" width="3.28515625" style="138" hidden="1" customWidth="1"/>
    <col min="10267" max="10490" width="0" style="138" hidden="1"/>
    <col min="10491" max="10492" width="3.28515625" style="138" hidden="1" customWidth="1"/>
    <col min="10493" max="10493" width="30.7109375" style="138" hidden="1" customWidth="1"/>
    <col min="10494" max="10494" width="2.7109375" style="138" hidden="1" customWidth="1"/>
    <col min="10495" max="10495" width="12.85546875" style="138" hidden="1" customWidth="1"/>
    <col min="10496" max="10497" width="9.5703125" style="138" hidden="1" customWidth="1"/>
    <col min="10498" max="10498" width="7.42578125" style="138" hidden="1" customWidth="1"/>
    <col min="10499" max="10499" width="11.140625" style="138" hidden="1" customWidth="1"/>
    <col min="10500" max="10500" width="11.28515625" style="138" hidden="1" customWidth="1"/>
    <col min="10501" max="10501" width="11.7109375" style="138" hidden="1" customWidth="1"/>
    <col min="10502" max="10502" width="11.28515625" style="138" hidden="1" customWidth="1"/>
    <col min="10503" max="10503" width="10.7109375" style="138" hidden="1" customWidth="1"/>
    <col min="10504" max="10504" width="11.28515625" style="138" hidden="1" customWidth="1"/>
    <col min="10505" max="10505" width="11.42578125" style="138" hidden="1" customWidth="1"/>
    <col min="10506" max="10506" width="10.42578125" style="138" hidden="1" customWidth="1"/>
    <col min="10507" max="10507" width="11.28515625" style="138" hidden="1" customWidth="1"/>
    <col min="10508" max="10508" width="11.42578125" style="138" hidden="1" customWidth="1"/>
    <col min="10509" max="10509" width="10.7109375" style="138" hidden="1" customWidth="1"/>
    <col min="10510" max="10510" width="10.28515625" style="138" hidden="1" customWidth="1"/>
    <col min="10511" max="10511" width="11.5703125" style="138" hidden="1" customWidth="1"/>
    <col min="10512" max="10513" width="11.42578125" style="138" hidden="1" customWidth="1"/>
    <col min="10514" max="10514" width="10.85546875" style="138" hidden="1" customWidth="1"/>
    <col min="10515" max="10515" width="8.7109375" style="138" hidden="1" customWidth="1"/>
    <col min="10516" max="10516" width="6.28515625" style="138" hidden="1" customWidth="1"/>
    <col min="10517" max="10517" width="4" style="138" hidden="1" customWidth="1"/>
    <col min="10518" max="10518" width="8.7109375" style="138" hidden="1" customWidth="1"/>
    <col min="10519" max="10519" width="13.7109375" style="138" hidden="1" customWidth="1"/>
    <col min="10520" max="10520" width="20.7109375" style="138" hidden="1" customWidth="1"/>
    <col min="10521" max="10521" width="9.42578125" style="138" hidden="1" customWidth="1"/>
    <col min="10522" max="10522" width="3.28515625" style="138" hidden="1" customWidth="1"/>
    <col min="10523" max="10746" width="0" style="138" hidden="1"/>
    <col min="10747" max="10748" width="3.28515625" style="138" hidden="1" customWidth="1"/>
    <col min="10749" max="10749" width="30.7109375" style="138" hidden="1" customWidth="1"/>
    <col min="10750" max="10750" width="2.7109375" style="138" hidden="1" customWidth="1"/>
    <col min="10751" max="10751" width="12.85546875" style="138" hidden="1" customWidth="1"/>
    <col min="10752" max="10753" width="9.5703125" style="138" hidden="1" customWidth="1"/>
    <col min="10754" max="10754" width="7.42578125" style="138" hidden="1" customWidth="1"/>
    <col min="10755" max="10755" width="11.140625" style="138" hidden="1" customWidth="1"/>
    <col min="10756" max="10756" width="11.28515625" style="138" hidden="1" customWidth="1"/>
    <col min="10757" max="10757" width="11.7109375" style="138" hidden="1" customWidth="1"/>
    <col min="10758" max="10758" width="11.28515625" style="138" hidden="1" customWidth="1"/>
    <col min="10759" max="10759" width="10.7109375" style="138" hidden="1" customWidth="1"/>
    <col min="10760" max="10760" width="11.28515625" style="138" hidden="1" customWidth="1"/>
    <col min="10761" max="10761" width="11.42578125" style="138" hidden="1" customWidth="1"/>
    <col min="10762" max="10762" width="10.42578125" style="138" hidden="1" customWidth="1"/>
    <col min="10763" max="10763" width="11.28515625" style="138" hidden="1" customWidth="1"/>
    <col min="10764" max="10764" width="11.42578125" style="138" hidden="1" customWidth="1"/>
    <col min="10765" max="10765" width="10.7109375" style="138" hidden="1" customWidth="1"/>
    <col min="10766" max="10766" width="10.28515625" style="138" hidden="1" customWidth="1"/>
    <col min="10767" max="10767" width="11.5703125" style="138" hidden="1" customWidth="1"/>
    <col min="10768" max="10769" width="11.42578125" style="138" hidden="1" customWidth="1"/>
    <col min="10770" max="10770" width="10.85546875" style="138" hidden="1" customWidth="1"/>
    <col min="10771" max="10771" width="8.7109375" style="138" hidden="1" customWidth="1"/>
    <col min="10772" max="10772" width="6.28515625" style="138" hidden="1" customWidth="1"/>
    <col min="10773" max="10773" width="4" style="138" hidden="1" customWidth="1"/>
    <col min="10774" max="10774" width="8.7109375" style="138" hidden="1" customWidth="1"/>
    <col min="10775" max="10775" width="13.7109375" style="138" hidden="1" customWidth="1"/>
    <col min="10776" max="10776" width="20.7109375" style="138" hidden="1" customWidth="1"/>
    <col min="10777" max="10777" width="9.42578125" style="138" hidden="1" customWidth="1"/>
    <col min="10778" max="10778" width="3.28515625" style="138" hidden="1" customWidth="1"/>
    <col min="10779" max="11002" width="0" style="138" hidden="1"/>
    <col min="11003" max="11004" width="3.28515625" style="138" hidden="1" customWidth="1"/>
    <col min="11005" max="11005" width="30.7109375" style="138" hidden="1" customWidth="1"/>
    <col min="11006" max="11006" width="2.7109375" style="138" hidden="1" customWidth="1"/>
    <col min="11007" max="11007" width="12.85546875" style="138" hidden="1" customWidth="1"/>
    <col min="11008" max="11009" width="9.5703125" style="138" hidden="1" customWidth="1"/>
    <col min="11010" max="11010" width="7.42578125" style="138" hidden="1" customWidth="1"/>
    <col min="11011" max="11011" width="11.140625" style="138" hidden="1" customWidth="1"/>
    <col min="11012" max="11012" width="11.28515625" style="138" hidden="1" customWidth="1"/>
    <col min="11013" max="11013" width="11.7109375" style="138" hidden="1" customWidth="1"/>
    <col min="11014" max="11014" width="11.28515625" style="138" hidden="1" customWidth="1"/>
    <col min="11015" max="11015" width="10.7109375" style="138" hidden="1" customWidth="1"/>
    <col min="11016" max="11016" width="11.28515625" style="138" hidden="1" customWidth="1"/>
    <col min="11017" max="11017" width="11.42578125" style="138" hidden="1" customWidth="1"/>
    <col min="11018" max="11018" width="10.42578125" style="138" hidden="1" customWidth="1"/>
    <col min="11019" max="11019" width="11.28515625" style="138" hidden="1" customWidth="1"/>
    <col min="11020" max="11020" width="11.42578125" style="138" hidden="1" customWidth="1"/>
    <col min="11021" max="11021" width="10.7109375" style="138" hidden="1" customWidth="1"/>
    <col min="11022" max="11022" width="10.28515625" style="138" hidden="1" customWidth="1"/>
    <col min="11023" max="11023" width="11.5703125" style="138" hidden="1" customWidth="1"/>
    <col min="11024" max="11025" width="11.42578125" style="138" hidden="1" customWidth="1"/>
    <col min="11026" max="11026" width="10.85546875" style="138" hidden="1" customWidth="1"/>
    <col min="11027" max="11027" width="8.7109375" style="138" hidden="1" customWidth="1"/>
    <col min="11028" max="11028" width="6.28515625" style="138" hidden="1" customWidth="1"/>
    <col min="11029" max="11029" width="4" style="138" hidden="1" customWidth="1"/>
    <col min="11030" max="11030" width="8.7109375" style="138" hidden="1" customWidth="1"/>
    <col min="11031" max="11031" width="13.7109375" style="138" hidden="1" customWidth="1"/>
    <col min="11032" max="11032" width="20.7109375" style="138" hidden="1" customWidth="1"/>
    <col min="11033" max="11033" width="9.42578125" style="138" hidden="1" customWidth="1"/>
    <col min="11034" max="11034" width="3.28515625" style="138" hidden="1" customWidth="1"/>
    <col min="11035" max="11258" width="0" style="138" hidden="1"/>
    <col min="11259" max="11260" width="3.28515625" style="138" hidden="1" customWidth="1"/>
    <col min="11261" max="11261" width="30.7109375" style="138" hidden="1" customWidth="1"/>
    <col min="11262" max="11262" width="2.7109375" style="138" hidden="1" customWidth="1"/>
    <col min="11263" max="11263" width="12.85546875" style="138" hidden="1" customWidth="1"/>
    <col min="11264" max="11265" width="9.5703125" style="138" hidden="1" customWidth="1"/>
    <col min="11266" max="11266" width="7.42578125" style="138" hidden="1" customWidth="1"/>
    <col min="11267" max="11267" width="11.140625" style="138" hidden="1" customWidth="1"/>
    <col min="11268" max="11268" width="11.28515625" style="138" hidden="1" customWidth="1"/>
    <col min="11269" max="11269" width="11.7109375" style="138" hidden="1" customWidth="1"/>
    <col min="11270" max="11270" width="11.28515625" style="138" hidden="1" customWidth="1"/>
    <col min="11271" max="11271" width="10.7109375" style="138" hidden="1" customWidth="1"/>
    <col min="11272" max="11272" width="11.28515625" style="138" hidden="1" customWidth="1"/>
    <col min="11273" max="11273" width="11.42578125" style="138" hidden="1" customWidth="1"/>
    <col min="11274" max="11274" width="10.42578125" style="138" hidden="1" customWidth="1"/>
    <col min="11275" max="11275" width="11.28515625" style="138" hidden="1" customWidth="1"/>
    <col min="11276" max="11276" width="11.42578125" style="138" hidden="1" customWidth="1"/>
    <col min="11277" max="11277" width="10.7109375" style="138" hidden="1" customWidth="1"/>
    <col min="11278" max="11278" width="10.28515625" style="138" hidden="1" customWidth="1"/>
    <col min="11279" max="11279" width="11.5703125" style="138" hidden="1" customWidth="1"/>
    <col min="11280" max="11281" width="11.42578125" style="138" hidden="1" customWidth="1"/>
    <col min="11282" max="11282" width="10.85546875" style="138" hidden="1" customWidth="1"/>
    <col min="11283" max="11283" width="8.7109375" style="138" hidden="1" customWidth="1"/>
    <col min="11284" max="11284" width="6.28515625" style="138" hidden="1" customWidth="1"/>
    <col min="11285" max="11285" width="4" style="138" hidden="1" customWidth="1"/>
    <col min="11286" max="11286" width="8.7109375" style="138" hidden="1" customWidth="1"/>
    <col min="11287" max="11287" width="13.7109375" style="138" hidden="1" customWidth="1"/>
    <col min="11288" max="11288" width="20.7109375" style="138" hidden="1" customWidth="1"/>
    <col min="11289" max="11289" width="9.42578125" style="138" hidden="1" customWidth="1"/>
    <col min="11290" max="11290" width="3.28515625" style="138" hidden="1" customWidth="1"/>
    <col min="11291" max="11514" width="0" style="138" hidden="1"/>
    <col min="11515" max="11516" width="3.28515625" style="138" hidden="1" customWidth="1"/>
    <col min="11517" max="11517" width="30.7109375" style="138" hidden="1" customWidth="1"/>
    <col min="11518" max="11518" width="2.7109375" style="138" hidden="1" customWidth="1"/>
    <col min="11519" max="11519" width="12.85546875" style="138" hidden="1" customWidth="1"/>
    <col min="11520" max="11521" width="9.5703125" style="138" hidden="1" customWidth="1"/>
    <col min="11522" max="11522" width="7.42578125" style="138" hidden="1" customWidth="1"/>
    <col min="11523" max="11523" width="11.140625" style="138" hidden="1" customWidth="1"/>
    <col min="11524" max="11524" width="11.28515625" style="138" hidden="1" customWidth="1"/>
    <col min="11525" max="11525" width="11.7109375" style="138" hidden="1" customWidth="1"/>
    <col min="11526" max="11526" width="11.28515625" style="138" hidden="1" customWidth="1"/>
    <col min="11527" max="11527" width="10.7109375" style="138" hidden="1" customWidth="1"/>
    <col min="11528" max="11528" width="11.28515625" style="138" hidden="1" customWidth="1"/>
    <col min="11529" max="11529" width="11.42578125" style="138" hidden="1" customWidth="1"/>
    <col min="11530" max="11530" width="10.42578125" style="138" hidden="1" customWidth="1"/>
    <col min="11531" max="11531" width="11.28515625" style="138" hidden="1" customWidth="1"/>
    <col min="11532" max="11532" width="11.42578125" style="138" hidden="1" customWidth="1"/>
    <col min="11533" max="11533" width="10.7109375" style="138" hidden="1" customWidth="1"/>
    <col min="11534" max="11534" width="10.28515625" style="138" hidden="1" customWidth="1"/>
    <col min="11535" max="11535" width="11.5703125" style="138" hidden="1" customWidth="1"/>
    <col min="11536" max="11537" width="11.42578125" style="138" hidden="1" customWidth="1"/>
    <col min="11538" max="11538" width="10.85546875" style="138" hidden="1" customWidth="1"/>
    <col min="11539" max="11539" width="8.7109375" style="138" hidden="1" customWidth="1"/>
    <col min="11540" max="11540" width="6.28515625" style="138" hidden="1" customWidth="1"/>
    <col min="11541" max="11541" width="4" style="138" hidden="1" customWidth="1"/>
    <col min="11542" max="11542" width="8.7109375" style="138" hidden="1" customWidth="1"/>
    <col min="11543" max="11543" width="13.7109375" style="138" hidden="1" customWidth="1"/>
    <col min="11544" max="11544" width="20.7109375" style="138" hidden="1" customWidth="1"/>
    <col min="11545" max="11545" width="9.42578125" style="138" hidden="1" customWidth="1"/>
    <col min="11546" max="11546" width="3.28515625" style="138" hidden="1" customWidth="1"/>
    <col min="11547" max="11770" width="0" style="138" hidden="1"/>
    <col min="11771" max="11772" width="3.28515625" style="138" hidden="1" customWidth="1"/>
    <col min="11773" max="11773" width="30.7109375" style="138" hidden="1" customWidth="1"/>
    <col min="11774" max="11774" width="2.7109375" style="138" hidden="1" customWidth="1"/>
    <col min="11775" max="11775" width="12.85546875" style="138" hidden="1" customWidth="1"/>
    <col min="11776" max="11777" width="9.5703125" style="138" hidden="1" customWidth="1"/>
    <col min="11778" max="11778" width="7.42578125" style="138" hidden="1" customWidth="1"/>
    <col min="11779" max="11779" width="11.140625" style="138" hidden="1" customWidth="1"/>
    <col min="11780" max="11780" width="11.28515625" style="138" hidden="1" customWidth="1"/>
    <col min="11781" max="11781" width="11.7109375" style="138" hidden="1" customWidth="1"/>
    <col min="11782" max="11782" width="11.28515625" style="138" hidden="1" customWidth="1"/>
    <col min="11783" max="11783" width="10.7109375" style="138" hidden="1" customWidth="1"/>
    <col min="11784" max="11784" width="11.28515625" style="138" hidden="1" customWidth="1"/>
    <col min="11785" max="11785" width="11.42578125" style="138" hidden="1" customWidth="1"/>
    <col min="11786" max="11786" width="10.42578125" style="138" hidden="1" customWidth="1"/>
    <col min="11787" max="11787" width="11.28515625" style="138" hidden="1" customWidth="1"/>
    <col min="11788" max="11788" width="11.42578125" style="138" hidden="1" customWidth="1"/>
    <col min="11789" max="11789" width="10.7109375" style="138" hidden="1" customWidth="1"/>
    <col min="11790" max="11790" width="10.28515625" style="138" hidden="1" customWidth="1"/>
    <col min="11791" max="11791" width="11.5703125" style="138" hidden="1" customWidth="1"/>
    <col min="11792" max="11793" width="11.42578125" style="138" hidden="1" customWidth="1"/>
    <col min="11794" max="11794" width="10.85546875" style="138" hidden="1" customWidth="1"/>
    <col min="11795" max="11795" width="8.7109375" style="138" hidden="1" customWidth="1"/>
    <col min="11796" max="11796" width="6.28515625" style="138" hidden="1" customWidth="1"/>
    <col min="11797" max="11797" width="4" style="138" hidden="1" customWidth="1"/>
    <col min="11798" max="11798" width="8.7109375" style="138" hidden="1" customWidth="1"/>
    <col min="11799" max="11799" width="13.7109375" style="138" hidden="1" customWidth="1"/>
    <col min="11800" max="11800" width="20.7109375" style="138" hidden="1" customWidth="1"/>
    <col min="11801" max="11801" width="9.42578125" style="138" hidden="1" customWidth="1"/>
    <col min="11802" max="11802" width="3.28515625" style="138" hidden="1" customWidth="1"/>
    <col min="11803" max="12026" width="0" style="138" hidden="1"/>
    <col min="12027" max="12028" width="3.28515625" style="138" hidden="1" customWidth="1"/>
    <col min="12029" max="12029" width="30.7109375" style="138" hidden="1" customWidth="1"/>
    <col min="12030" max="12030" width="2.7109375" style="138" hidden="1" customWidth="1"/>
    <col min="12031" max="12031" width="12.85546875" style="138" hidden="1" customWidth="1"/>
    <col min="12032" max="12033" width="9.5703125" style="138" hidden="1" customWidth="1"/>
    <col min="12034" max="12034" width="7.42578125" style="138" hidden="1" customWidth="1"/>
    <col min="12035" max="12035" width="11.140625" style="138" hidden="1" customWidth="1"/>
    <col min="12036" max="12036" width="11.28515625" style="138" hidden="1" customWidth="1"/>
    <col min="12037" max="12037" width="11.7109375" style="138" hidden="1" customWidth="1"/>
    <col min="12038" max="12038" width="11.28515625" style="138" hidden="1" customWidth="1"/>
    <col min="12039" max="12039" width="10.7109375" style="138" hidden="1" customWidth="1"/>
    <col min="12040" max="12040" width="11.28515625" style="138" hidden="1" customWidth="1"/>
    <col min="12041" max="12041" width="11.42578125" style="138" hidden="1" customWidth="1"/>
    <col min="12042" max="12042" width="10.42578125" style="138" hidden="1" customWidth="1"/>
    <col min="12043" max="12043" width="11.28515625" style="138" hidden="1" customWidth="1"/>
    <col min="12044" max="12044" width="11.42578125" style="138" hidden="1" customWidth="1"/>
    <col min="12045" max="12045" width="10.7109375" style="138" hidden="1" customWidth="1"/>
    <col min="12046" max="12046" width="10.28515625" style="138" hidden="1" customWidth="1"/>
    <col min="12047" max="12047" width="11.5703125" style="138" hidden="1" customWidth="1"/>
    <col min="12048" max="12049" width="11.42578125" style="138" hidden="1" customWidth="1"/>
    <col min="12050" max="12050" width="10.85546875" style="138" hidden="1" customWidth="1"/>
    <col min="12051" max="12051" width="8.7109375" style="138" hidden="1" customWidth="1"/>
    <col min="12052" max="12052" width="6.28515625" style="138" hidden="1" customWidth="1"/>
    <col min="12053" max="12053" width="4" style="138" hidden="1" customWidth="1"/>
    <col min="12054" max="12054" width="8.7109375" style="138" hidden="1" customWidth="1"/>
    <col min="12055" max="12055" width="13.7109375" style="138" hidden="1" customWidth="1"/>
    <col min="12056" max="12056" width="20.7109375" style="138" hidden="1" customWidth="1"/>
    <col min="12057" max="12057" width="9.42578125" style="138" hidden="1" customWidth="1"/>
    <col min="12058" max="12058" width="3.28515625" style="138" hidden="1" customWidth="1"/>
    <col min="12059" max="12282" width="0" style="138" hidden="1"/>
    <col min="12283" max="12284" width="3.28515625" style="138" hidden="1" customWidth="1"/>
    <col min="12285" max="12285" width="30.7109375" style="138" hidden="1" customWidth="1"/>
    <col min="12286" max="12286" width="2.7109375" style="138" hidden="1" customWidth="1"/>
    <col min="12287" max="12287" width="12.85546875" style="138" hidden="1" customWidth="1"/>
    <col min="12288" max="12289" width="9.5703125" style="138" hidden="1" customWidth="1"/>
    <col min="12290" max="12290" width="7.42578125" style="138" hidden="1" customWidth="1"/>
    <col min="12291" max="12291" width="11.140625" style="138" hidden="1" customWidth="1"/>
    <col min="12292" max="12292" width="11.28515625" style="138" hidden="1" customWidth="1"/>
    <col min="12293" max="12293" width="11.7109375" style="138" hidden="1" customWidth="1"/>
    <col min="12294" max="12294" width="11.28515625" style="138" hidden="1" customWidth="1"/>
    <col min="12295" max="12295" width="10.7109375" style="138" hidden="1" customWidth="1"/>
    <col min="12296" max="12296" width="11.28515625" style="138" hidden="1" customWidth="1"/>
    <col min="12297" max="12297" width="11.42578125" style="138" hidden="1" customWidth="1"/>
    <col min="12298" max="12298" width="10.42578125" style="138" hidden="1" customWidth="1"/>
    <col min="12299" max="12299" width="11.28515625" style="138" hidden="1" customWidth="1"/>
    <col min="12300" max="12300" width="11.42578125" style="138" hidden="1" customWidth="1"/>
    <col min="12301" max="12301" width="10.7109375" style="138" hidden="1" customWidth="1"/>
    <col min="12302" max="12302" width="10.28515625" style="138" hidden="1" customWidth="1"/>
    <col min="12303" max="12303" width="11.5703125" style="138" hidden="1" customWidth="1"/>
    <col min="12304" max="12305" width="11.42578125" style="138" hidden="1" customWidth="1"/>
    <col min="12306" max="12306" width="10.85546875" style="138" hidden="1" customWidth="1"/>
    <col min="12307" max="12307" width="8.7109375" style="138" hidden="1" customWidth="1"/>
    <col min="12308" max="12308" width="6.28515625" style="138" hidden="1" customWidth="1"/>
    <col min="12309" max="12309" width="4" style="138" hidden="1" customWidth="1"/>
    <col min="12310" max="12310" width="8.7109375" style="138" hidden="1" customWidth="1"/>
    <col min="12311" max="12311" width="13.7109375" style="138" hidden="1" customWidth="1"/>
    <col min="12312" max="12312" width="20.7109375" style="138" hidden="1" customWidth="1"/>
    <col min="12313" max="12313" width="9.42578125" style="138" hidden="1" customWidth="1"/>
    <col min="12314" max="12314" width="3.28515625" style="138" hidden="1" customWidth="1"/>
    <col min="12315" max="12538" width="0" style="138" hidden="1"/>
    <col min="12539" max="12540" width="3.28515625" style="138" hidden="1" customWidth="1"/>
    <col min="12541" max="12541" width="30.7109375" style="138" hidden="1" customWidth="1"/>
    <col min="12542" max="12542" width="2.7109375" style="138" hidden="1" customWidth="1"/>
    <col min="12543" max="12543" width="12.85546875" style="138" hidden="1" customWidth="1"/>
    <col min="12544" max="12545" width="9.5703125" style="138" hidden="1" customWidth="1"/>
    <col min="12546" max="12546" width="7.42578125" style="138" hidden="1" customWidth="1"/>
    <col min="12547" max="12547" width="11.140625" style="138" hidden="1" customWidth="1"/>
    <col min="12548" max="12548" width="11.28515625" style="138" hidden="1" customWidth="1"/>
    <col min="12549" max="12549" width="11.7109375" style="138" hidden="1" customWidth="1"/>
    <col min="12550" max="12550" width="11.28515625" style="138" hidden="1" customWidth="1"/>
    <col min="12551" max="12551" width="10.7109375" style="138" hidden="1" customWidth="1"/>
    <col min="12552" max="12552" width="11.28515625" style="138" hidden="1" customWidth="1"/>
    <col min="12553" max="12553" width="11.42578125" style="138" hidden="1" customWidth="1"/>
    <col min="12554" max="12554" width="10.42578125" style="138" hidden="1" customWidth="1"/>
    <col min="12555" max="12555" width="11.28515625" style="138" hidden="1" customWidth="1"/>
    <col min="12556" max="12556" width="11.42578125" style="138" hidden="1" customWidth="1"/>
    <col min="12557" max="12557" width="10.7109375" style="138" hidden="1" customWidth="1"/>
    <col min="12558" max="12558" width="10.28515625" style="138" hidden="1" customWidth="1"/>
    <col min="12559" max="12559" width="11.5703125" style="138" hidden="1" customWidth="1"/>
    <col min="12560" max="12561" width="11.42578125" style="138" hidden="1" customWidth="1"/>
    <col min="12562" max="12562" width="10.85546875" style="138" hidden="1" customWidth="1"/>
    <col min="12563" max="12563" width="8.7109375" style="138" hidden="1" customWidth="1"/>
    <col min="12564" max="12564" width="6.28515625" style="138" hidden="1" customWidth="1"/>
    <col min="12565" max="12565" width="4" style="138" hidden="1" customWidth="1"/>
    <col min="12566" max="12566" width="8.7109375" style="138" hidden="1" customWidth="1"/>
    <col min="12567" max="12567" width="13.7109375" style="138" hidden="1" customWidth="1"/>
    <col min="12568" max="12568" width="20.7109375" style="138" hidden="1" customWidth="1"/>
    <col min="12569" max="12569" width="9.42578125" style="138" hidden="1" customWidth="1"/>
    <col min="12570" max="12570" width="3.28515625" style="138" hidden="1" customWidth="1"/>
    <col min="12571" max="12794" width="0" style="138" hidden="1"/>
    <col min="12795" max="12796" width="3.28515625" style="138" hidden="1" customWidth="1"/>
    <col min="12797" max="12797" width="30.7109375" style="138" hidden="1" customWidth="1"/>
    <col min="12798" max="12798" width="2.7109375" style="138" hidden="1" customWidth="1"/>
    <col min="12799" max="12799" width="12.85546875" style="138" hidden="1" customWidth="1"/>
    <col min="12800" max="12801" width="9.5703125" style="138" hidden="1" customWidth="1"/>
    <col min="12802" max="12802" width="7.42578125" style="138" hidden="1" customWidth="1"/>
    <col min="12803" max="12803" width="11.140625" style="138" hidden="1" customWidth="1"/>
    <col min="12804" max="12804" width="11.28515625" style="138" hidden="1" customWidth="1"/>
    <col min="12805" max="12805" width="11.7109375" style="138" hidden="1" customWidth="1"/>
    <col min="12806" max="12806" width="11.28515625" style="138" hidden="1" customWidth="1"/>
    <col min="12807" max="12807" width="10.7109375" style="138" hidden="1" customWidth="1"/>
    <col min="12808" max="12808" width="11.28515625" style="138" hidden="1" customWidth="1"/>
    <col min="12809" max="12809" width="11.42578125" style="138" hidden="1" customWidth="1"/>
    <col min="12810" max="12810" width="10.42578125" style="138" hidden="1" customWidth="1"/>
    <col min="12811" max="12811" width="11.28515625" style="138" hidden="1" customWidth="1"/>
    <col min="12812" max="12812" width="11.42578125" style="138" hidden="1" customWidth="1"/>
    <col min="12813" max="12813" width="10.7109375" style="138" hidden="1" customWidth="1"/>
    <col min="12814" max="12814" width="10.28515625" style="138" hidden="1" customWidth="1"/>
    <col min="12815" max="12815" width="11.5703125" style="138" hidden="1" customWidth="1"/>
    <col min="12816" max="12817" width="11.42578125" style="138" hidden="1" customWidth="1"/>
    <col min="12818" max="12818" width="10.85546875" style="138" hidden="1" customWidth="1"/>
    <col min="12819" max="12819" width="8.7109375" style="138" hidden="1" customWidth="1"/>
    <col min="12820" max="12820" width="6.28515625" style="138" hidden="1" customWidth="1"/>
    <col min="12821" max="12821" width="4" style="138" hidden="1" customWidth="1"/>
    <col min="12822" max="12822" width="8.7109375" style="138" hidden="1" customWidth="1"/>
    <col min="12823" max="12823" width="13.7109375" style="138" hidden="1" customWidth="1"/>
    <col min="12824" max="12824" width="20.7109375" style="138" hidden="1" customWidth="1"/>
    <col min="12825" max="12825" width="9.42578125" style="138" hidden="1" customWidth="1"/>
    <col min="12826" max="12826" width="3.28515625" style="138" hidden="1" customWidth="1"/>
    <col min="12827" max="13050" width="0" style="138" hidden="1"/>
    <col min="13051" max="13052" width="3.28515625" style="138" hidden="1" customWidth="1"/>
    <col min="13053" max="13053" width="30.7109375" style="138" hidden="1" customWidth="1"/>
    <col min="13054" max="13054" width="2.7109375" style="138" hidden="1" customWidth="1"/>
    <col min="13055" max="13055" width="12.85546875" style="138" hidden="1" customWidth="1"/>
    <col min="13056" max="13057" width="9.5703125" style="138" hidden="1" customWidth="1"/>
    <col min="13058" max="13058" width="7.42578125" style="138" hidden="1" customWidth="1"/>
    <col min="13059" max="13059" width="11.140625" style="138" hidden="1" customWidth="1"/>
    <col min="13060" max="13060" width="11.28515625" style="138" hidden="1" customWidth="1"/>
    <col min="13061" max="13061" width="11.7109375" style="138" hidden="1" customWidth="1"/>
    <col min="13062" max="13062" width="11.28515625" style="138" hidden="1" customWidth="1"/>
    <col min="13063" max="13063" width="10.7109375" style="138" hidden="1" customWidth="1"/>
    <col min="13064" max="13064" width="11.28515625" style="138" hidden="1" customWidth="1"/>
    <col min="13065" max="13065" width="11.42578125" style="138" hidden="1" customWidth="1"/>
    <col min="13066" max="13066" width="10.42578125" style="138" hidden="1" customWidth="1"/>
    <col min="13067" max="13067" width="11.28515625" style="138" hidden="1" customWidth="1"/>
    <col min="13068" max="13068" width="11.42578125" style="138" hidden="1" customWidth="1"/>
    <col min="13069" max="13069" width="10.7109375" style="138" hidden="1" customWidth="1"/>
    <col min="13070" max="13070" width="10.28515625" style="138" hidden="1" customWidth="1"/>
    <col min="13071" max="13071" width="11.5703125" style="138" hidden="1" customWidth="1"/>
    <col min="13072" max="13073" width="11.42578125" style="138" hidden="1" customWidth="1"/>
    <col min="13074" max="13074" width="10.85546875" style="138" hidden="1" customWidth="1"/>
    <col min="13075" max="13075" width="8.7109375" style="138" hidden="1" customWidth="1"/>
    <col min="13076" max="13076" width="6.28515625" style="138" hidden="1" customWidth="1"/>
    <col min="13077" max="13077" width="4" style="138" hidden="1" customWidth="1"/>
    <col min="13078" max="13078" width="8.7109375" style="138" hidden="1" customWidth="1"/>
    <col min="13079" max="13079" width="13.7109375" style="138" hidden="1" customWidth="1"/>
    <col min="13080" max="13080" width="20.7109375" style="138" hidden="1" customWidth="1"/>
    <col min="13081" max="13081" width="9.42578125" style="138" hidden="1" customWidth="1"/>
    <col min="13082" max="13082" width="3.28515625" style="138" hidden="1" customWidth="1"/>
    <col min="13083" max="13306" width="0" style="138" hidden="1"/>
    <col min="13307" max="13308" width="3.28515625" style="138" hidden="1" customWidth="1"/>
    <col min="13309" max="13309" width="30.7109375" style="138" hidden="1" customWidth="1"/>
    <col min="13310" max="13310" width="2.7109375" style="138" hidden="1" customWidth="1"/>
    <col min="13311" max="13311" width="12.85546875" style="138" hidden="1" customWidth="1"/>
    <col min="13312" max="13313" width="9.5703125" style="138" hidden="1" customWidth="1"/>
    <col min="13314" max="13314" width="7.42578125" style="138" hidden="1" customWidth="1"/>
    <col min="13315" max="13315" width="11.140625" style="138" hidden="1" customWidth="1"/>
    <col min="13316" max="13316" width="11.28515625" style="138" hidden="1" customWidth="1"/>
    <col min="13317" max="13317" width="11.7109375" style="138" hidden="1" customWidth="1"/>
    <col min="13318" max="13318" width="11.28515625" style="138" hidden="1" customWidth="1"/>
    <col min="13319" max="13319" width="10.7109375" style="138" hidden="1" customWidth="1"/>
    <col min="13320" max="13320" width="11.28515625" style="138" hidden="1" customWidth="1"/>
    <col min="13321" max="13321" width="11.42578125" style="138" hidden="1" customWidth="1"/>
    <col min="13322" max="13322" width="10.42578125" style="138" hidden="1" customWidth="1"/>
    <col min="13323" max="13323" width="11.28515625" style="138" hidden="1" customWidth="1"/>
    <col min="13324" max="13324" width="11.42578125" style="138" hidden="1" customWidth="1"/>
    <col min="13325" max="13325" width="10.7109375" style="138" hidden="1" customWidth="1"/>
    <col min="13326" max="13326" width="10.28515625" style="138" hidden="1" customWidth="1"/>
    <col min="13327" max="13327" width="11.5703125" style="138" hidden="1" customWidth="1"/>
    <col min="13328" max="13329" width="11.42578125" style="138" hidden="1" customWidth="1"/>
    <col min="13330" max="13330" width="10.85546875" style="138" hidden="1" customWidth="1"/>
    <col min="13331" max="13331" width="8.7109375" style="138" hidden="1" customWidth="1"/>
    <col min="13332" max="13332" width="6.28515625" style="138" hidden="1" customWidth="1"/>
    <col min="13333" max="13333" width="4" style="138" hidden="1" customWidth="1"/>
    <col min="13334" max="13334" width="8.7109375" style="138" hidden="1" customWidth="1"/>
    <col min="13335" max="13335" width="13.7109375" style="138" hidden="1" customWidth="1"/>
    <col min="13336" max="13336" width="20.7109375" style="138" hidden="1" customWidth="1"/>
    <col min="13337" max="13337" width="9.42578125" style="138" hidden="1" customWidth="1"/>
    <col min="13338" max="13338" width="3.28515625" style="138" hidden="1" customWidth="1"/>
    <col min="13339" max="13562" width="0" style="138" hidden="1"/>
    <col min="13563" max="13564" width="3.28515625" style="138" hidden="1" customWidth="1"/>
    <col min="13565" max="13565" width="30.7109375" style="138" hidden="1" customWidth="1"/>
    <col min="13566" max="13566" width="2.7109375" style="138" hidden="1" customWidth="1"/>
    <col min="13567" max="13567" width="12.85546875" style="138" hidden="1" customWidth="1"/>
    <col min="13568" max="13569" width="9.5703125" style="138" hidden="1" customWidth="1"/>
    <col min="13570" max="13570" width="7.42578125" style="138" hidden="1" customWidth="1"/>
    <col min="13571" max="13571" width="11.140625" style="138" hidden="1" customWidth="1"/>
    <col min="13572" max="13572" width="11.28515625" style="138" hidden="1" customWidth="1"/>
    <col min="13573" max="13573" width="11.7109375" style="138" hidden="1" customWidth="1"/>
    <col min="13574" max="13574" width="11.28515625" style="138" hidden="1" customWidth="1"/>
    <col min="13575" max="13575" width="10.7109375" style="138" hidden="1" customWidth="1"/>
    <col min="13576" max="13576" width="11.28515625" style="138" hidden="1" customWidth="1"/>
    <col min="13577" max="13577" width="11.42578125" style="138" hidden="1" customWidth="1"/>
    <col min="13578" max="13578" width="10.42578125" style="138" hidden="1" customWidth="1"/>
    <col min="13579" max="13579" width="11.28515625" style="138" hidden="1" customWidth="1"/>
    <col min="13580" max="13580" width="11.42578125" style="138" hidden="1" customWidth="1"/>
    <col min="13581" max="13581" width="10.7109375" style="138" hidden="1" customWidth="1"/>
    <col min="13582" max="13582" width="10.28515625" style="138" hidden="1" customWidth="1"/>
    <col min="13583" max="13583" width="11.5703125" style="138" hidden="1" customWidth="1"/>
    <col min="13584" max="13585" width="11.42578125" style="138" hidden="1" customWidth="1"/>
    <col min="13586" max="13586" width="10.85546875" style="138" hidden="1" customWidth="1"/>
    <col min="13587" max="13587" width="8.7109375" style="138" hidden="1" customWidth="1"/>
    <col min="13588" max="13588" width="6.28515625" style="138" hidden="1" customWidth="1"/>
    <col min="13589" max="13589" width="4" style="138" hidden="1" customWidth="1"/>
    <col min="13590" max="13590" width="8.7109375" style="138" hidden="1" customWidth="1"/>
    <col min="13591" max="13591" width="13.7109375" style="138" hidden="1" customWidth="1"/>
    <col min="13592" max="13592" width="20.7109375" style="138" hidden="1" customWidth="1"/>
    <col min="13593" max="13593" width="9.42578125" style="138" hidden="1" customWidth="1"/>
    <col min="13594" max="13594" width="3.28515625" style="138" hidden="1" customWidth="1"/>
    <col min="13595" max="13818" width="0" style="138" hidden="1"/>
    <col min="13819" max="13820" width="3.28515625" style="138" hidden="1" customWidth="1"/>
    <col min="13821" max="13821" width="30.7109375" style="138" hidden="1" customWidth="1"/>
    <col min="13822" max="13822" width="2.7109375" style="138" hidden="1" customWidth="1"/>
    <col min="13823" max="13823" width="12.85546875" style="138" hidden="1" customWidth="1"/>
    <col min="13824" max="13825" width="9.5703125" style="138" hidden="1" customWidth="1"/>
    <col min="13826" max="13826" width="7.42578125" style="138" hidden="1" customWidth="1"/>
    <col min="13827" max="13827" width="11.140625" style="138" hidden="1" customWidth="1"/>
    <col min="13828" max="13828" width="11.28515625" style="138" hidden="1" customWidth="1"/>
    <col min="13829" max="13829" width="11.7109375" style="138" hidden="1" customWidth="1"/>
    <col min="13830" max="13830" width="11.28515625" style="138" hidden="1" customWidth="1"/>
    <col min="13831" max="13831" width="10.7109375" style="138" hidden="1" customWidth="1"/>
    <col min="13832" max="13832" width="11.28515625" style="138" hidden="1" customWidth="1"/>
    <col min="13833" max="13833" width="11.42578125" style="138" hidden="1" customWidth="1"/>
    <col min="13834" max="13834" width="10.42578125" style="138" hidden="1" customWidth="1"/>
    <col min="13835" max="13835" width="11.28515625" style="138" hidden="1" customWidth="1"/>
    <col min="13836" max="13836" width="11.42578125" style="138" hidden="1" customWidth="1"/>
    <col min="13837" max="13837" width="10.7109375" style="138" hidden="1" customWidth="1"/>
    <col min="13838" max="13838" width="10.28515625" style="138" hidden="1" customWidth="1"/>
    <col min="13839" max="13839" width="11.5703125" style="138" hidden="1" customWidth="1"/>
    <col min="13840" max="13841" width="11.42578125" style="138" hidden="1" customWidth="1"/>
    <col min="13842" max="13842" width="10.85546875" style="138" hidden="1" customWidth="1"/>
    <col min="13843" max="13843" width="8.7109375" style="138" hidden="1" customWidth="1"/>
    <col min="13844" max="13844" width="6.28515625" style="138" hidden="1" customWidth="1"/>
    <col min="13845" max="13845" width="4" style="138" hidden="1" customWidth="1"/>
    <col min="13846" max="13846" width="8.7109375" style="138" hidden="1" customWidth="1"/>
    <col min="13847" max="13847" width="13.7109375" style="138" hidden="1" customWidth="1"/>
    <col min="13848" max="13848" width="20.7109375" style="138" hidden="1" customWidth="1"/>
    <col min="13849" max="13849" width="9.42578125" style="138" hidden="1" customWidth="1"/>
    <col min="13850" max="13850" width="3.28515625" style="138" hidden="1" customWidth="1"/>
    <col min="13851" max="14074" width="0" style="138" hidden="1"/>
    <col min="14075" max="14076" width="3.28515625" style="138" hidden="1" customWidth="1"/>
    <col min="14077" max="14077" width="30.7109375" style="138" hidden="1" customWidth="1"/>
    <col min="14078" max="14078" width="2.7109375" style="138" hidden="1" customWidth="1"/>
    <col min="14079" max="14079" width="12.85546875" style="138" hidden="1" customWidth="1"/>
    <col min="14080" max="14081" width="9.5703125" style="138" hidden="1" customWidth="1"/>
    <col min="14082" max="14082" width="7.42578125" style="138" hidden="1" customWidth="1"/>
    <col min="14083" max="14083" width="11.140625" style="138" hidden="1" customWidth="1"/>
    <col min="14084" max="14084" width="11.28515625" style="138" hidden="1" customWidth="1"/>
    <col min="14085" max="14085" width="11.7109375" style="138" hidden="1" customWidth="1"/>
    <col min="14086" max="14086" width="11.28515625" style="138" hidden="1" customWidth="1"/>
    <col min="14087" max="14087" width="10.7109375" style="138" hidden="1" customWidth="1"/>
    <col min="14088" max="14088" width="11.28515625" style="138" hidden="1" customWidth="1"/>
    <col min="14089" max="14089" width="11.42578125" style="138" hidden="1" customWidth="1"/>
    <col min="14090" max="14090" width="10.42578125" style="138" hidden="1" customWidth="1"/>
    <col min="14091" max="14091" width="11.28515625" style="138" hidden="1" customWidth="1"/>
    <col min="14092" max="14092" width="11.42578125" style="138" hidden="1" customWidth="1"/>
    <col min="14093" max="14093" width="10.7109375" style="138" hidden="1" customWidth="1"/>
    <col min="14094" max="14094" width="10.28515625" style="138" hidden="1" customWidth="1"/>
    <col min="14095" max="14095" width="11.5703125" style="138" hidden="1" customWidth="1"/>
    <col min="14096" max="14097" width="11.42578125" style="138" hidden="1" customWidth="1"/>
    <col min="14098" max="14098" width="10.85546875" style="138" hidden="1" customWidth="1"/>
    <col min="14099" max="14099" width="8.7109375" style="138" hidden="1" customWidth="1"/>
    <col min="14100" max="14100" width="6.28515625" style="138" hidden="1" customWidth="1"/>
    <col min="14101" max="14101" width="4" style="138" hidden="1" customWidth="1"/>
    <col min="14102" max="14102" width="8.7109375" style="138" hidden="1" customWidth="1"/>
    <col min="14103" max="14103" width="13.7109375" style="138" hidden="1" customWidth="1"/>
    <col min="14104" max="14104" width="20.7109375" style="138" hidden="1" customWidth="1"/>
    <col min="14105" max="14105" width="9.42578125" style="138" hidden="1" customWidth="1"/>
    <col min="14106" max="14106" width="3.28515625" style="138" hidden="1" customWidth="1"/>
    <col min="14107" max="14330" width="0" style="138" hidden="1"/>
    <col min="14331" max="14332" width="3.28515625" style="138" hidden="1" customWidth="1"/>
    <col min="14333" max="14333" width="30.7109375" style="138" hidden="1" customWidth="1"/>
    <col min="14334" max="14334" width="2.7109375" style="138" hidden="1" customWidth="1"/>
    <col min="14335" max="14335" width="12.85546875" style="138" hidden="1" customWidth="1"/>
    <col min="14336" max="14337" width="9.5703125" style="138" hidden="1" customWidth="1"/>
    <col min="14338" max="14338" width="7.42578125" style="138" hidden="1" customWidth="1"/>
    <col min="14339" max="14339" width="11.140625" style="138" hidden="1" customWidth="1"/>
    <col min="14340" max="14340" width="11.28515625" style="138" hidden="1" customWidth="1"/>
    <col min="14341" max="14341" width="11.7109375" style="138" hidden="1" customWidth="1"/>
    <col min="14342" max="14342" width="11.28515625" style="138" hidden="1" customWidth="1"/>
    <col min="14343" max="14343" width="10.7109375" style="138" hidden="1" customWidth="1"/>
    <col min="14344" max="14344" width="11.28515625" style="138" hidden="1" customWidth="1"/>
    <col min="14345" max="14345" width="11.42578125" style="138" hidden="1" customWidth="1"/>
    <col min="14346" max="14346" width="10.42578125" style="138" hidden="1" customWidth="1"/>
    <col min="14347" max="14347" width="11.28515625" style="138" hidden="1" customWidth="1"/>
    <col min="14348" max="14348" width="11.42578125" style="138" hidden="1" customWidth="1"/>
    <col min="14349" max="14349" width="10.7109375" style="138" hidden="1" customWidth="1"/>
    <col min="14350" max="14350" width="10.28515625" style="138" hidden="1" customWidth="1"/>
    <col min="14351" max="14351" width="11.5703125" style="138" hidden="1" customWidth="1"/>
    <col min="14352" max="14353" width="11.42578125" style="138" hidden="1" customWidth="1"/>
    <col min="14354" max="14354" width="10.85546875" style="138" hidden="1" customWidth="1"/>
    <col min="14355" max="14355" width="8.7109375" style="138" hidden="1" customWidth="1"/>
    <col min="14356" max="14356" width="6.28515625" style="138" hidden="1" customWidth="1"/>
    <col min="14357" max="14357" width="4" style="138" hidden="1" customWidth="1"/>
    <col min="14358" max="14358" width="8.7109375" style="138" hidden="1" customWidth="1"/>
    <col min="14359" max="14359" width="13.7109375" style="138" hidden="1" customWidth="1"/>
    <col min="14360" max="14360" width="20.7109375" style="138" hidden="1" customWidth="1"/>
    <col min="14361" max="14361" width="9.42578125" style="138" hidden="1" customWidth="1"/>
    <col min="14362" max="14362" width="3.28515625" style="138" hidden="1" customWidth="1"/>
    <col min="14363" max="14586" width="0" style="138" hidden="1"/>
    <col min="14587" max="14588" width="3.28515625" style="138" hidden="1" customWidth="1"/>
    <col min="14589" max="14589" width="30.7109375" style="138" hidden="1" customWidth="1"/>
    <col min="14590" max="14590" width="2.7109375" style="138" hidden="1" customWidth="1"/>
    <col min="14591" max="14591" width="12.85546875" style="138" hidden="1" customWidth="1"/>
    <col min="14592" max="14593" width="9.5703125" style="138" hidden="1" customWidth="1"/>
    <col min="14594" max="14594" width="7.42578125" style="138" hidden="1" customWidth="1"/>
    <col min="14595" max="14595" width="11.140625" style="138" hidden="1" customWidth="1"/>
    <col min="14596" max="14596" width="11.28515625" style="138" hidden="1" customWidth="1"/>
    <col min="14597" max="14597" width="11.7109375" style="138" hidden="1" customWidth="1"/>
    <col min="14598" max="14598" width="11.28515625" style="138" hidden="1" customWidth="1"/>
    <col min="14599" max="14599" width="10.7109375" style="138" hidden="1" customWidth="1"/>
    <col min="14600" max="14600" width="11.28515625" style="138" hidden="1" customWidth="1"/>
    <col min="14601" max="14601" width="11.42578125" style="138" hidden="1" customWidth="1"/>
    <col min="14602" max="14602" width="10.42578125" style="138" hidden="1" customWidth="1"/>
    <col min="14603" max="14603" width="11.28515625" style="138" hidden="1" customWidth="1"/>
    <col min="14604" max="14604" width="11.42578125" style="138" hidden="1" customWidth="1"/>
    <col min="14605" max="14605" width="10.7109375" style="138" hidden="1" customWidth="1"/>
    <col min="14606" max="14606" width="10.28515625" style="138" hidden="1" customWidth="1"/>
    <col min="14607" max="14607" width="11.5703125" style="138" hidden="1" customWidth="1"/>
    <col min="14608" max="14609" width="11.42578125" style="138" hidden="1" customWidth="1"/>
    <col min="14610" max="14610" width="10.85546875" style="138" hidden="1" customWidth="1"/>
    <col min="14611" max="14611" width="8.7109375" style="138" hidden="1" customWidth="1"/>
    <col min="14612" max="14612" width="6.28515625" style="138" hidden="1" customWidth="1"/>
    <col min="14613" max="14613" width="4" style="138" hidden="1" customWidth="1"/>
    <col min="14614" max="14614" width="8.7109375" style="138" hidden="1" customWidth="1"/>
    <col min="14615" max="14615" width="13.7109375" style="138" hidden="1" customWidth="1"/>
    <col min="14616" max="14616" width="20.7109375" style="138" hidden="1" customWidth="1"/>
    <col min="14617" max="14617" width="9.42578125" style="138" hidden="1" customWidth="1"/>
    <col min="14618" max="14618" width="3.28515625" style="138" hidden="1" customWidth="1"/>
    <col min="14619" max="14842" width="0" style="138" hidden="1"/>
    <col min="14843" max="14844" width="3.28515625" style="138" hidden="1" customWidth="1"/>
    <col min="14845" max="14845" width="30.7109375" style="138" hidden="1" customWidth="1"/>
    <col min="14846" max="14846" width="2.7109375" style="138" hidden="1" customWidth="1"/>
    <col min="14847" max="14847" width="12.85546875" style="138" hidden="1" customWidth="1"/>
    <col min="14848" max="14849" width="9.5703125" style="138" hidden="1" customWidth="1"/>
    <col min="14850" max="14850" width="7.42578125" style="138" hidden="1" customWidth="1"/>
    <col min="14851" max="14851" width="11.140625" style="138" hidden="1" customWidth="1"/>
    <col min="14852" max="14852" width="11.28515625" style="138" hidden="1" customWidth="1"/>
    <col min="14853" max="14853" width="11.7109375" style="138" hidden="1" customWidth="1"/>
    <col min="14854" max="14854" width="11.28515625" style="138" hidden="1" customWidth="1"/>
    <col min="14855" max="14855" width="10.7109375" style="138" hidden="1" customWidth="1"/>
    <col min="14856" max="14856" width="11.28515625" style="138" hidden="1" customWidth="1"/>
    <col min="14857" max="14857" width="11.42578125" style="138" hidden="1" customWidth="1"/>
    <col min="14858" max="14858" width="10.42578125" style="138" hidden="1" customWidth="1"/>
    <col min="14859" max="14859" width="11.28515625" style="138" hidden="1" customWidth="1"/>
    <col min="14860" max="14860" width="11.42578125" style="138" hidden="1" customWidth="1"/>
    <col min="14861" max="14861" width="10.7109375" style="138" hidden="1" customWidth="1"/>
    <col min="14862" max="14862" width="10.28515625" style="138" hidden="1" customWidth="1"/>
    <col min="14863" max="14863" width="11.5703125" style="138" hidden="1" customWidth="1"/>
    <col min="14864" max="14865" width="11.42578125" style="138" hidden="1" customWidth="1"/>
    <col min="14866" max="14866" width="10.85546875" style="138" hidden="1" customWidth="1"/>
    <col min="14867" max="14867" width="8.7109375" style="138" hidden="1" customWidth="1"/>
    <col min="14868" max="14868" width="6.28515625" style="138" hidden="1" customWidth="1"/>
    <col min="14869" max="14869" width="4" style="138" hidden="1" customWidth="1"/>
    <col min="14870" max="14870" width="8.7109375" style="138" hidden="1" customWidth="1"/>
    <col min="14871" max="14871" width="13.7109375" style="138" hidden="1" customWidth="1"/>
    <col min="14872" max="14872" width="20.7109375" style="138" hidden="1" customWidth="1"/>
    <col min="14873" max="14873" width="9.42578125" style="138" hidden="1" customWidth="1"/>
    <col min="14874" max="14874" width="3.28515625" style="138" hidden="1" customWidth="1"/>
    <col min="14875" max="15098" width="0" style="138" hidden="1"/>
    <col min="15099" max="15100" width="3.28515625" style="138" hidden="1" customWidth="1"/>
    <col min="15101" max="15101" width="30.7109375" style="138" hidden="1" customWidth="1"/>
    <col min="15102" max="15102" width="2.7109375" style="138" hidden="1" customWidth="1"/>
    <col min="15103" max="15103" width="12.85546875" style="138" hidden="1" customWidth="1"/>
    <col min="15104" max="15105" width="9.5703125" style="138" hidden="1" customWidth="1"/>
    <col min="15106" max="15106" width="7.42578125" style="138" hidden="1" customWidth="1"/>
    <col min="15107" max="15107" width="11.140625" style="138" hidden="1" customWidth="1"/>
    <col min="15108" max="15108" width="11.28515625" style="138" hidden="1" customWidth="1"/>
    <col min="15109" max="15109" width="11.7109375" style="138" hidden="1" customWidth="1"/>
    <col min="15110" max="15110" width="11.28515625" style="138" hidden="1" customWidth="1"/>
    <col min="15111" max="15111" width="10.7109375" style="138" hidden="1" customWidth="1"/>
    <col min="15112" max="15112" width="11.28515625" style="138" hidden="1" customWidth="1"/>
    <col min="15113" max="15113" width="11.42578125" style="138" hidden="1" customWidth="1"/>
    <col min="15114" max="15114" width="10.42578125" style="138" hidden="1" customWidth="1"/>
    <col min="15115" max="15115" width="11.28515625" style="138" hidden="1" customWidth="1"/>
    <col min="15116" max="15116" width="11.42578125" style="138" hidden="1" customWidth="1"/>
    <col min="15117" max="15117" width="10.7109375" style="138" hidden="1" customWidth="1"/>
    <col min="15118" max="15118" width="10.28515625" style="138" hidden="1" customWidth="1"/>
    <col min="15119" max="15119" width="11.5703125" style="138" hidden="1" customWidth="1"/>
    <col min="15120" max="15121" width="11.42578125" style="138" hidden="1" customWidth="1"/>
    <col min="15122" max="15122" width="10.85546875" style="138" hidden="1" customWidth="1"/>
    <col min="15123" max="15123" width="8.7109375" style="138" hidden="1" customWidth="1"/>
    <col min="15124" max="15124" width="6.28515625" style="138" hidden="1" customWidth="1"/>
    <col min="15125" max="15125" width="4" style="138" hidden="1" customWidth="1"/>
    <col min="15126" max="15126" width="8.7109375" style="138" hidden="1" customWidth="1"/>
    <col min="15127" max="15127" width="13.7109375" style="138" hidden="1" customWidth="1"/>
    <col min="15128" max="15128" width="20.7109375" style="138" hidden="1" customWidth="1"/>
    <col min="15129" max="15129" width="9.42578125" style="138" hidden="1" customWidth="1"/>
    <col min="15130" max="15130" width="3.28515625" style="138" hidden="1" customWidth="1"/>
    <col min="15131" max="15354" width="0" style="138" hidden="1"/>
    <col min="15355" max="15356" width="3.28515625" style="138" hidden="1" customWidth="1"/>
    <col min="15357" max="15357" width="30.7109375" style="138" hidden="1" customWidth="1"/>
    <col min="15358" max="15358" width="2.7109375" style="138" hidden="1" customWidth="1"/>
    <col min="15359" max="15359" width="12.85546875" style="138" hidden="1" customWidth="1"/>
    <col min="15360" max="15361" width="9.5703125" style="138" hidden="1" customWidth="1"/>
    <col min="15362" max="15362" width="7.42578125" style="138" hidden="1" customWidth="1"/>
    <col min="15363" max="15363" width="11.140625" style="138" hidden="1" customWidth="1"/>
    <col min="15364" max="15364" width="11.28515625" style="138" hidden="1" customWidth="1"/>
    <col min="15365" max="15365" width="11.7109375" style="138" hidden="1" customWidth="1"/>
    <col min="15366" max="15366" width="11.28515625" style="138" hidden="1" customWidth="1"/>
    <col min="15367" max="15367" width="10.7109375" style="138" hidden="1" customWidth="1"/>
    <col min="15368" max="15368" width="11.28515625" style="138" hidden="1" customWidth="1"/>
    <col min="15369" max="15369" width="11.42578125" style="138" hidden="1" customWidth="1"/>
    <col min="15370" max="15370" width="10.42578125" style="138" hidden="1" customWidth="1"/>
    <col min="15371" max="15371" width="11.28515625" style="138" hidden="1" customWidth="1"/>
    <col min="15372" max="15372" width="11.42578125" style="138" hidden="1" customWidth="1"/>
    <col min="15373" max="15373" width="10.7109375" style="138" hidden="1" customWidth="1"/>
    <col min="15374" max="15374" width="10.28515625" style="138" hidden="1" customWidth="1"/>
    <col min="15375" max="15375" width="11.5703125" style="138" hidden="1" customWidth="1"/>
    <col min="15376" max="15377" width="11.42578125" style="138" hidden="1" customWidth="1"/>
    <col min="15378" max="15378" width="10.85546875" style="138" hidden="1" customWidth="1"/>
    <col min="15379" max="15379" width="8.7109375" style="138" hidden="1" customWidth="1"/>
    <col min="15380" max="15380" width="6.28515625" style="138" hidden="1" customWidth="1"/>
    <col min="15381" max="15381" width="4" style="138" hidden="1" customWidth="1"/>
    <col min="15382" max="15382" width="8.7109375" style="138" hidden="1" customWidth="1"/>
    <col min="15383" max="15383" width="13.7109375" style="138" hidden="1" customWidth="1"/>
    <col min="15384" max="15384" width="20.7109375" style="138" hidden="1" customWidth="1"/>
    <col min="15385" max="15385" width="9.42578125" style="138" hidden="1" customWidth="1"/>
    <col min="15386" max="15386" width="3.28515625" style="138" hidden="1" customWidth="1"/>
    <col min="15387" max="15610" width="0" style="138" hidden="1"/>
    <col min="15611" max="15612" width="3.28515625" style="138" hidden="1" customWidth="1"/>
    <col min="15613" max="15613" width="30.7109375" style="138" hidden="1" customWidth="1"/>
    <col min="15614" max="15614" width="2.7109375" style="138" hidden="1" customWidth="1"/>
    <col min="15615" max="15615" width="12.85546875" style="138" hidden="1" customWidth="1"/>
    <col min="15616" max="15617" width="9.5703125" style="138" hidden="1" customWidth="1"/>
    <col min="15618" max="15618" width="7.42578125" style="138" hidden="1" customWidth="1"/>
    <col min="15619" max="15619" width="11.140625" style="138" hidden="1" customWidth="1"/>
    <col min="15620" max="15620" width="11.28515625" style="138" hidden="1" customWidth="1"/>
    <col min="15621" max="15621" width="11.7109375" style="138" hidden="1" customWidth="1"/>
    <col min="15622" max="15622" width="11.28515625" style="138" hidden="1" customWidth="1"/>
    <col min="15623" max="15623" width="10.7109375" style="138" hidden="1" customWidth="1"/>
    <col min="15624" max="15624" width="11.28515625" style="138" hidden="1" customWidth="1"/>
    <col min="15625" max="15625" width="11.42578125" style="138" hidden="1" customWidth="1"/>
    <col min="15626" max="15626" width="10.42578125" style="138" hidden="1" customWidth="1"/>
    <col min="15627" max="15627" width="11.28515625" style="138" hidden="1" customWidth="1"/>
    <col min="15628" max="15628" width="11.42578125" style="138" hidden="1" customWidth="1"/>
    <col min="15629" max="15629" width="10.7109375" style="138" hidden="1" customWidth="1"/>
    <col min="15630" max="15630" width="10.28515625" style="138" hidden="1" customWidth="1"/>
    <col min="15631" max="15631" width="11.5703125" style="138" hidden="1" customWidth="1"/>
    <col min="15632" max="15633" width="11.42578125" style="138" hidden="1" customWidth="1"/>
    <col min="15634" max="15634" width="10.85546875" style="138" hidden="1" customWidth="1"/>
    <col min="15635" max="15635" width="8.7109375" style="138" hidden="1" customWidth="1"/>
    <col min="15636" max="15636" width="6.28515625" style="138" hidden="1" customWidth="1"/>
    <col min="15637" max="15637" width="4" style="138" hidden="1" customWidth="1"/>
    <col min="15638" max="15638" width="8.7109375" style="138" hidden="1" customWidth="1"/>
    <col min="15639" max="15639" width="13.7109375" style="138" hidden="1" customWidth="1"/>
    <col min="15640" max="15640" width="20.7109375" style="138" hidden="1" customWidth="1"/>
    <col min="15641" max="15641" width="9.42578125" style="138" hidden="1" customWidth="1"/>
    <col min="15642" max="15642" width="3.28515625" style="138" hidden="1" customWidth="1"/>
    <col min="15643" max="15866" width="0" style="138" hidden="1"/>
    <col min="15867" max="15868" width="3.28515625" style="138" hidden="1" customWidth="1"/>
    <col min="15869" max="15869" width="30.7109375" style="138" hidden="1" customWidth="1"/>
    <col min="15870" max="15870" width="2.7109375" style="138" hidden="1" customWidth="1"/>
    <col min="15871" max="15871" width="12.85546875" style="138" hidden="1" customWidth="1"/>
    <col min="15872" max="15873" width="9.5703125" style="138" hidden="1" customWidth="1"/>
    <col min="15874" max="15874" width="7.42578125" style="138" hidden="1" customWidth="1"/>
    <col min="15875" max="15875" width="11.140625" style="138" hidden="1" customWidth="1"/>
    <col min="15876" max="15876" width="11.28515625" style="138" hidden="1" customWidth="1"/>
    <col min="15877" max="15877" width="11.7109375" style="138" hidden="1" customWidth="1"/>
    <col min="15878" max="15878" width="11.28515625" style="138" hidden="1" customWidth="1"/>
    <col min="15879" max="15879" width="10.7109375" style="138" hidden="1" customWidth="1"/>
    <col min="15880" max="15880" width="11.28515625" style="138" hidden="1" customWidth="1"/>
    <col min="15881" max="15881" width="11.42578125" style="138" hidden="1" customWidth="1"/>
    <col min="15882" max="15882" width="10.42578125" style="138" hidden="1" customWidth="1"/>
    <col min="15883" max="15883" width="11.28515625" style="138" hidden="1" customWidth="1"/>
    <col min="15884" max="15884" width="11.42578125" style="138" hidden="1" customWidth="1"/>
    <col min="15885" max="15885" width="10.7109375" style="138" hidden="1" customWidth="1"/>
    <col min="15886" max="15886" width="10.28515625" style="138" hidden="1" customWidth="1"/>
    <col min="15887" max="15887" width="11.5703125" style="138" hidden="1" customWidth="1"/>
    <col min="15888" max="15889" width="11.42578125" style="138" hidden="1" customWidth="1"/>
    <col min="15890" max="15890" width="10.85546875" style="138" hidden="1" customWidth="1"/>
    <col min="15891" max="15891" width="8.7109375" style="138" hidden="1" customWidth="1"/>
    <col min="15892" max="15892" width="6.28515625" style="138" hidden="1" customWidth="1"/>
    <col min="15893" max="15893" width="4" style="138" hidden="1" customWidth="1"/>
    <col min="15894" max="15894" width="8.7109375" style="138" hidden="1" customWidth="1"/>
    <col min="15895" max="15895" width="13.7109375" style="138" hidden="1" customWidth="1"/>
    <col min="15896" max="15896" width="20.7109375" style="138" hidden="1" customWidth="1"/>
    <col min="15897" max="15897" width="9.42578125" style="138" hidden="1" customWidth="1"/>
    <col min="15898" max="15898" width="3.28515625" style="138" hidden="1" customWidth="1"/>
    <col min="15899" max="16122" width="0" style="138" hidden="1"/>
    <col min="16123" max="16124" width="3.28515625" style="138" hidden="1" customWidth="1"/>
    <col min="16125" max="16125" width="30.7109375" style="138" hidden="1" customWidth="1"/>
    <col min="16126" max="16126" width="2.7109375" style="138" hidden="1" customWidth="1"/>
    <col min="16127" max="16127" width="12.85546875" style="138" hidden="1" customWidth="1"/>
    <col min="16128" max="16129" width="9.5703125" style="138" hidden="1" customWidth="1"/>
    <col min="16130" max="16130" width="7.42578125" style="138" hidden="1" customWidth="1"/>
    <col min="16131" max="16131" width="11.140625" style="138" hidden="1" customWidth="1"/>
    <col min="16132" max="16132" width="11.28515625" style="138" hidden="1" customWidth="1"/>
    <col min="16133" max="16133" width="11.7109375" style="138" hidden="1" customWidth="1"/>
    <col min="16134" max="16134" width="11.28515625" style="138" hidden="1" customWidth="1"/>
    <col min="16135" max="16135" width="10.7109375" style="138" hidden="1" customWidth="1"/>
    <col min="16136" max="16136" width="11.28515625" style="138" hidden="1" customWidth="1"/>
    <col min="16137" max="16137" width="11.42578125" style="138" hidden="1" customWidth="1"/>
    <col min="16138" max="16138" width="10.42578125" style="138" hidden="1" customWidth="1"/>
    <col min="16139" max="16139" width="11.28515625" style="138" hidden="1" customWidth="1"/>
    <col min="16140" max="16140" width="11.42578125" style="138" hidden="1" customWidth="1"/>
    <col min="16141" max="16141" width="10.7109375" style="138" hidden="1" customWidth="1"/>
    <col min="16142" max="16142" width="10.28515625" style="138" hidden="1" customWidth="1"/>
    <col min="16143" max="16143" width="11.5703125" style="138" hidden="1" customWidth="1"/>
    <col min="16144" max="16145" width="11.42578125" style="138" hidden="1" customWidth="1"/>
    <col min="16146" max="16146" width="10.85546875" style="138" hidden="1" customWidth="1"/>
    <col min="16147" max="16147" width="8.7109375" style="138" hidden="1" customWidth="1"/>
    <col min="16148" max="16148" width="6.28515625" style="138" hidden="1" customWidth="1"/>
    <col min="16149" max="16149" width="4" style="138" hidden="1" customWidth="1"/>
    <col min="16150" max="16150" width="8.7109375" style="138" hidden="1" customWidth="1"/>
    <col min="16151" max="16151" width="13.7109375" style="138" hidden="1" customWidth="1"/>
    <col min="16152" max="16152" width="20.7109375" style="138" hidden="1" customWidth="1"/>
    <col min="16153" max="16153" width="9.42578125" style="138" hidden="1" customWidth="1"/>
    <col min="16154" max="16154" width="3.28515625" style="138" hidden="1" customWidth="1"/>
    <col min="16155" max="16157" width="3.28515625" style="138" hidden="1"/>
    <col min="16158" max="16384" width="0" style="138" hidden="1"/>
  </cols>
  <sheetData>
    <row r="1" spans="1:26" ht="15.75" customHeight="1" x14ac:dyDescent="0.2">
      <c r="A1" s="8"/>
      <c r="B1" s="8"/>
      <c r="C1" s="1798">
        <f ca="1">NOW()</f>
        <v>43089.775999537036</v>
      </c>
      <c r="D1" s="4959"/>
      <c r="E1" s="4959"/>
      <c r="F1" s="4959"/>
      <c r="G1" s="4959"/>
      <c r="H1" s="4959"/>
      <c r="I1" s="4959"/>
      <c r="J1" s="4959"/>
      <c r="K1" s="4959"/>
      <c r="L1" s="4959"/>
      <c r="M1" s="4959"/>
      <c r="N1" s="5" t="s">
        <v>41</v>
      </c>
      <c r="O1" s="6" t="s">
        <v>2509</v>
      </c>
      <c r="P1" s="9"/>
      <c r="Q1" s="10"/>
      <c r="R1" s="10"/>
      <c r="S1" s="10"/>
      <c r="T1" s="10"/>
      <c r="U1" s="10"/>
      <c r="V1" s="8"/>
      <c r="W1" s="8"/>
      <c r="X1" s="8"/>
      <c r="Y1" s="8"/>
      <c r="Z1" s="8"/>
    </row>
    <row r="2" spans="1:26" ht="11.1" customHeight="1" x14ac:dyDescent="0.2">
      <c r="A2" s="8"/>
      <c r="B2" s="8"/>
      <c r="C2" s="2" t="s">
        <v>2508</v>
      </c>
      <c r="D2" s="4959"/>
      <c r="E2" s="4959"/>
      <c r="F2" s="4959"/>
      <c r="G2" s="4959"/>
      <c r="H2" s="4959"/>
      <c r="I2" s="4959"/>
      <c r="J2" s="4959"/>
      <c r="K2" s="4959"/>
      <c r="L2" s="4959"/>
      <c r="M2" s="4959"/>
      <c r="N2" s="11"/>
      <c r="O2" s="12"/>
      <c r="P2" s="13"/>
      <c r="Q2" s="10"/>
      <c r="R2" s="14"/>
      <c r="S2" s="14"/>
      <c r="T2" s="14"/>
      <c r="U2" s="10"/>
      <c r="V2" s="8"/>
      <c r="W2" s="8"/>
      <c r="X2" s="8"/>
      <c r="Y2" s="8"/>
      <c r="Z2" s="8"/>
    </row>
    <row r="3" spans="1:26" ht="12" customHeight="1" x14ac:dyDescent="0.2">
      <c r="A3" s="8"/>
      <c r="B3" s="8"/>
      <c r="C3" s="426" t="s">
        <v>42</v>
      </c>
      <c r="D3" s="4959"/>
      <c r="E3" s="4959"/>
      <c r="F3" s="4959"/>
      <c r="G3" s="4959"/>
      <c r="H3" s="4959"/>
      <c r="I3" s="4959"/>
      <c r="J3" s="4959"/>
      <c r="K3" s="4959"/>
      <c r="L3" s="4959"/>
      <c r="M3" s="4959"/>
      <c r="N3" s="15" t="s">
        <v>678</v>
      </c>
      <c r="O3" s="16"/>
      <c r="P3" s="13"/>
      <c r="Q3" s="16"/>
      <c r="R3" s="16"/>
      <c r="S3" s="16"/>
      <c r="T3" s="16"/>
      <c r="U3" s="16"/>
      <c r="V3" s="8"/>
      <c r="W3" s="8"/>
      <c r="X3" s="8"/>
      <c r="Y3" s="8"/>
      <c r="Z3" s="8"/>
    </row>
    <row r="4" spans="1:26" ht="11.1" customHeight="1" x14ac:dyDescent="0.2">
      <c r="A4" s="4941"/>
      <c r="B4" s="4942"/>
      <c r="C4" s="1799" t="s">
        <v>647</v>
      </c>
      <c r="D4" s="4959"/>
      <c r="E4" s="4959"/>
      <c r="F4" s="4959"/>
      <c r="G4" s="4959"/>
      <c r="H4" s="4959"/>
      <c r="I4" s="4959"/>
      <c r="J4" s="4959"/>
      <c r="K4" s="4959"/>
      <c r="L4" s="4959"/>
      <c r="M4" s="4959"/>
      <c r="N4" s="15" t="s">
        <v>679</v>
      </c>
      <c r="O4" s="17"/>
      <c r="P4" s="13"/>
      <c r="Q4" s="17"/>
      <c r="R4" s="18" t="s">
        <v>755</v>
      </c>
      <c r="S4" s="19"/>
      <c r="T4" s="19"/>
      <c r="U4" s="17"/>
      <c r="V4" s="8"/>
      <c r="W4" s="8"/>
      <c r="X4" s="20" t="s">
        <v>674</v>
      </c>
      <c r="Y4" s="8"/>
      <c r="Z4" s="8"/>
    </row>
    <row r="5" spans="1:26" ht="11.1" customHeight="1" x14ac:dyDescent="0.2">
      <c r="A5" s="4942"/>
      <c r="B5" s="4942"/>
      <c r="C5" s="4" t="s">
        <v>2507</v>
      </c>
      <c r="D5" s="4959"/>
      <c r="E5" s="4959"/>
      <c r="F5" s="4959"/>
      <c r="G5" s="4959"/>
      <c r="H5" s="4959"/>
      <c r="I5" s="4959"/>
      <c r="J5" s="4959"/>
      <c r="K5" s="4959"/>
      <c r="L5" s="4959"/>
      <c r="M5" s="4959"/>
      <c r="N5" s="3282" t="s">
        <v>2505</v>
      </c>
      <c r="O5" s="21"/>
      <c r="P5" s="21"/>
      <c r="Q5" s="21"/>
      <c r="R5" s="22" t="s">
        <v>1072</v>
      </c>
      <c r="S5" s="21"/>
      <c r="T5" s="21"/>
      <c r="U5" s="21"/>
      <c r="V5" s="21"/>
      <c r="W5" s="21"/>
      <c r="X5" s="2346" t="s">
        <v>675</v>
      </c>
      <c r="Y5" s="21"/>
      <c r="Z5" s="8"/>
    </row>
    <row r="6" spans="1:26" ht="11.1" customHeight="1" x14ac:dyDescent="0.2">
      <c r="A6" s="8"/>
      <c r="B6" s="8"/>
      <c r="C6" s="2544" t="s">
        <v>1141</v>
      </c>
      <c r="D6" s="4959"/>
      <c r="E6" s="4959"/>
      <c r="F6" s="4959"/>
      <c r="G6" s="4959"/>
      <c r="H6" s="4959"/>
      <c r="I6" s="4959"/>
      <c r="J6" s="4959"/>
      <c r="K6" s="4959"/>
      <c r="L6" s="4959"/>
      <c r="M6" s="4959"/>
      <c r="N6" s="23"/>
      <c r="O6" s="10"/>
      <c r="P6" s="13"/>
      <c r="Q6" s="10"/>
      <c r="R6" s="10"/>
      <c r="S6" s="10"/>
      <c r="T6" s="10"/>
      <c r="U6" s="10"/>
      <c r="V6" s="8"/>
      <c r="W6" s="8"/>
      <c r="X6" s="8"/>
      <c r="Y6" s="24">
        <f ca="1">NOW()</f>
        <v>43089.775999537036</v>
      </c>
      <c r="Z6" s="8"/>
    </row>
    <row r="7" spans="1:26" ht="11.1" customHeight="1" thickBot="1" x14ac:dyDescent="0.3">
      <c r="A7" s="8"/>
      <c r="B7" s="8"/>
      <c r="C7" s="26" t="s">
        <v>1142</v>
      </c>
      <c r="D7" s="1265"/>
      <c r="E7" s="1265"/>
      <c r="F7" s="25"/>
      <c r="G7" s="25"/>
      <c r="H7" s="25"/>
      <c r="I7" s="27"/>
      <c r="J7" s="10"/>
      <c r="K7" s="28"/>
      <c r="L7" s="27"/>
      <c r="M7" s="29"/>
      <c r="N7" s="28"/>
      <c r="O7" s="10"/>
      <c r="P7" s="9"/>
      <c r="Q7" s="10"/>
      <c r="R7" s="10"/>
      <c r="S7" s="10"/>
      <c r="T7" s="10"/>
      <c r="U7" s="10"/>
      <c r="V7" s="8"/>
      <c r="W7" s="8"/>
      <c r="X7" s="8"/>
      <c r="Y7" s="8"/>
      <c r="Z7" s="8"/>
    </row>
    <row r="8" spans="1:26" ht="11.1" customHeight="1" thickTop="1" x14ac:dyDescent="0.2">
      <c r="A8" s="8"/>
      <c r="B8" s="30"/>
      <c r="C8" s="1260" t="s">
        <v>43</v>
      </c>
      <c r="D8" s="1266"/>
      <c r="E8" s="4951" t="s">
        <v>2133</v>
      </c>
      <c r="F8" s="32" t="s">
        <v>24</v>
      </c>
      <c r="G8" s="4943" t="s">
        <v>44</v>
      </c>
      <c r="H8" s="4943" t="s">
        <v>45</v>
      </c>
      <c r="I8" s="1608" t="s">
        <v>615</v>
      </c>
      <c r="J8" s="1608" t="s">
        <v>1598</v>
      </c>
      <c r="K8" s="1608" t="s">
        <v>1186</v>
      </c>
      <c r="L8" s="1608" t="s">
        <v>26</v>
      </c>
      <c r="M8" s="1609" t="s">
        <v>46</v>
      </c>
      <c r="N8" s="1608" t="s">
        <v>47</v>
      </c>
      <c r="O8" s="1608" t="s">
        <v>650</v>
      </c>
      <c r="P8" s="1608" t="s">
        <v>48</v>
      </c>
      <c r="Q8" s="1608" t="s">
        <v>616</v>
      </c>
      <c r="R8" s="4943" t="s">
        <v>49</v>
      </c>
      <c r="S8" s="4948" t="s">
        <v>50</v>
      </c>
      <c r="T8" s="4949"/>
      <c r="U8" s="4950"/>
      <c r="V8" s="4956" t="s">
        <v>51</v>
      </c>
      <c r="W8" s="4957" t="s">
        <v>52</v>
      </c>
      <c r="X8" s="4957" t="s">
        <v>53</v>
      </c>
      <c r="Y8" s="4953" t="s">
        <v>1057</v>
      </c>
      <c r="Z8" s="33"/>
    </row>
    <row r="9" spans="1:26" ht="11.1" customHeight="1" x14ac:dyDescent="0.2">
      <c r="A9" s="8"/>
      <c r="B9" s="34"/>
      <c r="C9" s="1261" t="s">
        <v>54</v>
      </c>
      <c r="D9" s="1267"/>
      <c r="E9" s="4952"/>
      <c r="F9" s="783" t="s">
        <v>1059</v>
      </c>
      <c r="G9" s="4944"/>
      <c r="H9" s="4944"/>
      <c r="I9" s="37">
        <f t="shared" ref="I9:Q9" si="0">(MIN(I$13:I$546)*8)/I12</f>
        <v>1.6669149415824667</v>
      </c>
      <c r="J9" s="37">
        <f t="shared" si="0"/>
        <v>3.1863686057943812</v>
      </c>
      <c r="K9" s="37">
        <f t="shared" si="0"/>
        <v>6.1818697114654615</v>
      </c>
      <c r="L9" s="37">
        <f t="shared" si="0"/>
        <v>2.9955868182831922</v>
      </c>
      <c r="M9" s="37">
        <f t="shared" si="0"/>
        <v>6.4955570768429407</v>
      </c>
      <c r="N9" s="37">
        <f t="shared" si="0"/>
        <v>7.1223643755881669</v>
      </c>
      <c r="O9" s="37">
        <f t="shared" si="0"/>
        <v>3.3232180506596358</v>
      </c>
      <c r="P9" s="37">
        <f t="shared" si="0"/>
        <v>1.2217411281584907</v>
      </c>
      <c r="Q9" s="784">
        <f t="shared" si="0"/>
        <v>1.1319531439999999</v>
      </c>
      <c r="R9" s="4946"/>
      <c r="S9" s="785"/>
      <c r="T9" s="2629"/>
      <c r="U9" s="785"/>
      <c r="V9" s="4946"/>
      <c r="W9" s="4946"/>
      <c r="X9" s="4946"/>
      <c r="Y9" s="4954"/>
      <c r="Z9" s="33"/>
    </row>
    <row r="10" spans="1:26" ht="9.75" customHeight="1" x14ac:dyDescent="0.2">
      <c r="A10" s="8"/>
      <c r="B10" s="34"/>
      <c r="C10" s="1261" t="s">
        <v>55</v>
      </c>
      <c r="D10" s="1267"/>
      <c r="E10" s="4952"/>
      <c r="F10" s="783" t="s">
        <v>1058</v>
      </c>
      <c r="G10" s="4944"/>
      <c r="H10" s="4944"/>
      <c r="I10" s="41">
        <f t="shared" ref="I10:Q10" si="1">(MIN(I$13:I$546))*100/I12/100</f>
        <v>0.20836436769780831</v>
      </c>
      <c r="J10" s="41">
        <f t="shared" si="1"/>
        <v>0.39829607572429765</v>
      </c>
      <c r="K10" s="41">
        <f t="shared" si="1"/>
        <v>0.77273371393318258</v>
      </c>
      <c r="L10" s="41">
        <f t="shared" si="1"/>
        <v>0.37444835228539902</v>
      </c>
      <c r="M10" s="41">
        <f t="shared" si="1"/>
        <v>0.81194463460536748</v>
      </c>
      <c r="N10" s="41">
        <f t="shared" si="1"/>
        <v>0.89029554694852076</v>
      </c>
      <c r="O10" s="41">
        <f t="shared" si="1"/>
        <v>0.41540225633245448</v>
      </c>
      <c r="P10" s="41">
        <f t="shared" si="1"/>
        <v>0.15271764101981133</v>
      </c>
      <c r="Q10" s="786">
        <f t="shared" si="1"/>
        <v>0.14149414299999999</v>
      </c>
      <c r="R10" s="4946"/>
      <c r="S10" s="785" t="s">
        <v>1709</v>
      </c>
      <c r="T10" s="2629" t="s">
        <v>2433</v>
      </c>
      <c r="U10" s="785" t="s">
        <v>57</v>
      </c>
      <c r="V10" s="4946"/>
      <c r="W10" s="4946"/>
      <c r="X10" s="4946"/>
      <c r="Y10" s="4954"/>
      <c r="Z10" s="33"/>
    </row>
    <row r="11" spans="1:26" ht="10.5" hidden="1" customHeight="1" x14ac:dyDescent="0.2">
      <c r="A11" s="8"/>
      <c r="B11" s="34"/>
      <c r="C11" s="1261"/>
      <c r="D11" s="1267"/>
      <c r="E11" s="4952"/>
      <c r="F11" s="783"/>
      <c r="G11" s="4944"/>
      <c r="H11" s="4944"/>
      <c r="I11" s="43">
        <f t="shared" ref="I11:Q11" si="2">MIN(I$13:I$414)</f>
        <v>68304203</v>
      </c>
      <c r="J11" s="43">
        <f t="shared" si="2"/>
        <v>336453384</v>
      </c>
      <c r="K11" s="43">
        <f t="shared" si="2"/>
        <v>446512625</v>
      </c>
      <c r="L11" s="43">
        <f t="shared" si="2"/>
        <v>265573919</v>
      </c>
      <c r="M11" s="43">
        <f t="shared" si="2"/>
        <v>494587185</v>
      </c>
      <c r="N11" s="43">
        <f t="shared" si="2"/>
        <v>438117471</v>
      </c>
      <c r="O11" s="43">
        <f t="shared" si="2"/>
        <v>263150037</v>
      </c>
      <c r="P11" s="43">
        <f t="shared" si="2"/>
        <v>30543764</v>
      </c>
      <c r="Q11" s="787">
        <f t="shared" si="2"/>
        <v>141494143</v>
      </c>
      <c r="R11" s="4946"/>
      <c r="S11" s="785"/>
      <c r="T11" s="2629"/>
      <c r="U11" s="785"/>
      <c r="V11" s="4946"/>
      <c r="W11" s="4946"/>
      <c r="X11" s="4946"/>
      <c r="Y11" s="4954"/>
      <c r="Z11" s="33"/>
    </row>
    <row r="12" spans="1:26" ht="11.1" customHeight="1" x14ac:dyDescent="0.2">
      <c r="A12" s="8"/>
      <c r="B12" s="788"/>
      <c r="C12" s="1262" t="s">
        <v>58</v>
      </c>
      <c r="D12" s="1271"/>
      <c r="E12" s="4952"/>
      <c r="F12" s="779">
        <f>SUM(I12/I$11,J12/J$11,K12/K$11,L12/L$11,M12/M$11,N12/N$11,O12/O$11,P12/P$11,Q12/Q$11)/9*100</f>
        <v>321.6084005623751</v>
      </c>
      <c r="G12" s="4945"/>
      <c r="H12" s="4945"/>
      <c r="I12" s="47">
        <v>327811342</v>
      </c>
      <c r="J12" s="47">
        <v>606681890</v>
      </c>
      <c r="K12" s="47">
        <v>577835051</v>
      </c>
      <c r="L12" s="47">
        <v>709240453</v>
      </c>
      <c r="M12" s="47">
        <v>609139052</v>
      </c>
      <c r="N12" s="47">
        <v>492103406</v>
      </c>
      <c r="O12" s="47">
        <v>633482445</v>
      </c>
      <c r="P12" s="47">
        <v>200001544</v>
      </c>
      <c r="Q12" s="789">
        <v>1000000000</v>
      </c>
      <c r="R12" s="4947"/>
      <c r="S12" s="790" t="s">
        <v>59</v>
      </c>
      <c r="T12" s="2630" t="s">
        <v>2432</v>
      </c>
      <c r="U12" s="790" t="s">
        <v>60</v>
      </c>
      <c r="V12" s="4947"/>
      <c r="W12" s="4958"/>
      <c r="X12" s="4947"/>
      <c r="Y12" s="4955"/>
      <c r="Z12" s="2"/>
    </row>
    <row r="13" spans="1:26" ht="14.1" customHeight="1" x14ac:dyDescent="0.25">
      <c r="A13" s="58"/>
      <c r="B13" s="791" t="s">
        <v>1103</v>
      </c>
      <c r="C13" s="1211" t="s">
        <v>2689</v>
      </c>
      <c r="D13" s="1939"/>
      <c r="E13" s="1993"/>
      <c r="F13" s="1979">
        <f t="shared" ref="F13:F76" si="3">SUM(I13/I$11,J13/J$11,K13/K$11,L13/L$11,M13/M$11,N13/N$11,O13/O$11,P13/P$11,Q13/Q$11)/9*100+(G13/5000)+(IF(H13 = 0,G13,H13)/5000)</f>
        <v>107.84997516880976</v>
      </c>
      <c r="G13" s="792">
        <f>620+39+958+1151+986+810+94+315+1714</f>
        <v>6687</v>
      </c>
      <c r="H13" s="792">
        <f>600+22+943+973+988+817+98+326+1886</f>
        <v>6653</v>
      </c>
      <c r="I13" s="793">
        <v>69699825</v>
      </c>
      <c r="J13" s="793">
        <v>344830935</v>
      </c>
      <c r="K13" s="793">
        <v>454082848</v>
      </c>
      <c r="L13" s="793">
        <v>273648068</v>
      </c>
      <c r="M13" s="793">
        <v>572487400</v>
      </c>
      <c r="N13" s="793">
        <v>478618331</v>
      </c>
      <c r="O13" s="793">
        <v>273648831</v>
      </c>
      <c r="P13" s="793">
        <v>31322350</v>
      </c>
      <c r="Q13" s="781">
        <v>149750763</v>
      </c>
      <c r="R13" s="794" t="s">
        <v>68</v>
      </c>
      <c r="S13" s="2731" t="s">
        <v>62</v>
      </c>
      <c r="T13" s="2734" t="s">
        <v>2435</v>
      </c>
      <c r="U13" s="4266">
        <v>4</v>
      </c>
      <c r="V13" s="795">
        <v>40851</v>
      </c>
      <c r="W13" s="796" t="s">
        <v>69</v>
      </c>
      <c r="X13" s="4267" t="s">
        <v>1229</v>
      </c>
      <c r="Y13" s="797">
        <f t="shared" ref="Y13:Y50" ca="1" si="4">YEARFRAC(V13,Y$6)</f>
        <v>6.1277777777777782</v>
      </c>
      <c r="Z13" s="8"/>
    </row>
    <row r="14" spans="1:26" ht="14.1" customHeight="1" x14ac:dyDescent="0.25">
      <c r="A14" s="58">
        <v>2</v>
      </c>
      <c r="B14" s="791" t="s">
        <v>1103</v>
      </c>
      <c r="C14" s="3911" t="s">
        <v>2764</v>
      </c>
      <c r="D14" s="1939"/>
      <c r="E14" s="1996"/>
      <c r="F14" s="3906">
        <f t="shared" si="3"/>
        <v>107.85019476240731</v>
      </c>
      <c r="G14" s="3991">
        <f>516+111+1019+1017+1080+866+252+310+1762</f>
        <v>6933</v>
      </c>
      <c r="H14" s="3991">
        <f>600+85+929+961+982+807+248+320+1806</f>
        <v>6738</v>
      </c>
      <c r="I14" s="799">
        <v>69728614</v>
      </c>
      <c r="J14" s="799">
        <v>344830061</v>
      </c>
      <c r="K14" s="793">
        <v>454178452</v>
      </c>
      <c r="L14" s="793">
        <v>271181957</v>
      </c>
      <c r="M14" s="793">
        <v>572480489</v>
      </c>
      <c r="N14" s="793">
        <v>478680399</v>
      </c>
      <c r="O14" s="793">
        <v>273691671</v>
      </c>
      <c r="P14" s="793">
        <v>31341330</v>
      </c>
      <c r="Q14" s="793">
        <v>150005854</v>
      </c>
      <c r="R14" s="4260" t="s">
        <v>68</v>
      </c>
      <c r="S14" s="4261" t="s">
        <v>62</v>
      </c>
      <c r="T14" s="2734" t="s">
        <v>2435</v>
      </c>
      <c r="U14" s="4262">
        <v>1</v>
      </c>
      <c r="V14" s="4263">
        <v>40332</v>
      </c>
      <c r="W14" s="4264" t="s">
        <v>69</v>
      </c>
      <c r="X14" s="4268" t="s">
        <v>1229</v>
      </c>
      <c r="Y14" s="4265">
        <f t="shared" ca="1" si="4"/>
        <v>7.5472222222222225</v>
      </c>
      <c r="Z14" s="58">
        <v>2</v>
      </c>
    </row>
    <row r="15" spans="1:26" ht="14.1" customHeight="1" x14ac:dyDescent="0.2">
      <c r="A15" s="58"/>
      <c r="B15" s="3925" t="s">
        <v>1685</v>
      </c>
      <c r="C15" s="3942" t="s">
        <v>1826</v>
      </c>
      <c r="D15" s="1941" t="s">
        <v>40</v>
      </c>
      <c r="E15" s="1995" t="s">
        <v>2130</v>
      </c>
      <c r="F15" s="3782">
        <f t="shared" si="3"/>
        <v>108.95074850762802</v>
      </c>
      <c r="G15" s="3992">
        <f>234.9+67.2+622.3+612.6+675.6+606.7+695.7+157.1+794.7</f>
        <v>4466.8</v>
      </c>
      <c r="H15" s="4022">
        <f>239.07+224.5+961.2+1018.7+719.8+630.8+717.9+166.2+726.9</f>
        <v>5405.07</v>
      </c>
      <c r="I15" s="3912">
        <v>70631322</v>
      </c>
      <c r="J15" s="800">
        <v>396424812</v>
      </c>
      <c r="K15" s="800">
        <v>455006834</v>
      </c>
      <c r="L15" s="800">
        <v>274694277</v>
      </c>
      <c r="M15" s="800">
        <v>574227512</v>
      </c>
      <c r="N15" s="800">
        <v>481705736</v>
      </c>
      <c r="O15" s="800">
        <v>289906777</v>
      </c>
      <c r="P15" s="800">
        <v>30543764</v>
      </c>
      <c r="Q15" s="800">
        <v>141494143</v>
      </c>
      <c r="R15" s="4067" t="s">
        <v>1226</v>
      </c>
      <c r="S15" s="3913" t="s">
        <v>62</v>
      </c>
      <c r="T15" s="2735" t="s">
        <v>2435</v>
      </c>
      <c r="U15" s="4138">
        <v>1</v>
      </c>
      <c r="V15" s="4170">
        <v>42099</v>
      </c>
      <c r="W15" s="1439" t="s">
        <v>417</v>
      </c>
      <c r="X15" s="4269" t="s">
        <v>1800</v>
      </c>
      <c r="Y15" s="801">
        <f t="shared" ca="1" si="4"/>
        <v>2.7083333333333335</v>
      </c>
      <c r="Z15" s="58"/>
    </row>
    <row r="16" spans="1:26" ht="14.1" customHeight="1" x14ac:dyDescent="0.2">
      <c r="A16" s="58">
        <v>4</v>
      </c>
      <c r="B16" s="59" t="s">
        <v>1685</v>
      </c>
      <c r="C16" s="1216" t="s">
        <v>1827</v>
      </c>
      <c r="D16" s="1539" t="s">
        <v>40</v>
      </c>
      <c r="E16" s="1994" t="s">
        <v>2130</v>
      </c>
      <c r="F16" s="3782">
        <f t="shared" si="3"/>
        <v>109.21455416588424</v>
      </c>
      <c r="G16" s="3993">
        <f>214.8+61.6+580.1+566.6+649.4+558.8+599.3+117.2+701.4</f>
        <v>4049.2000000000003</v>
      </c>
      <c r="H16" s="1438"/>
      <c r="I16" s="822">
        <v>71336984</v>
      </c>
      <c r="J16" s="803">
        <v>396424812</v>
      </c>
      <c r="K16" s="803">
        <v>455203653</v>
      </c>
      <c r="L16" s="803">
        <v>275813829</v>
      </c>
      <c r="M16" s="803">
        <v>576448230</v>
      </c>
      <c r="N16" s="803">
        <v>481809823</v>
      </c>
      <c r="O16" s="803">
        <v>290436539</v>
      </c>
      <c r="P16" s="803">
        <v>30650778</v>
      </c>
      <c r="Q16" s="803">
        <v>145800236</v>
      </c>
      <c r="R16" s="4068" t="s">
        <v>1804</v>
      </c>
      <c r="S16" s="4093" t="s">
        <v>62</v>
      </c>
      <c r="T16" s="2736" t="s">
        <v>2435</v>
      </c>
      <c r="U16" s="4139">
        <v>1</v>
      </c>
      <c r="V16" s="4171">
        <v>42099</v>
      </c>
      <c r="W16" s="4198" t="s">
        <v>417</v>
      </c>
      <c r="X16" s="4270" t="s">
        <v>1800</v>
      </c>
      <c r="Y16" s="804">
        <f t="shared" ca="1" si="4"/>
        <v>2.7083333333333335</v>
      </c>
      <c r="Z16" s="58">
        <v>4</v>
      </c>
    </row>
    <row r="17" spans="1:26" ht="14.1" customHeight="1" x14ac:dyDescent="0.25">
      <c r="A17" s="58"/>
      <c r="B17" s="50" t="s">
        <v>1685</v>
      </c>
      <c r="C17" s="3910" t="s">
        <v>2056</v>
      </c>
      <c r="D17" s="1942"/>
      <c r="E17" s="1995"/>
      <c r="F17" s="3782">
        <f t="shared" si="3"/>
        <v>109.62574272947056</v>
      </c>
      <c r="G17" s="805">
        <f>337.6+183.6+450.99+520.53+275.78+207.88+195.64+341.46+482.63</f>
        <v>2996.11</v>
      </c>
      <c r="H17" s="806">
        <f>231.4+177.8+359.4+408.7+272.1+318.9+216.5+157.5+503.5</f>
        <v>2645.8</v>
      </c>
      <c r="I17" s="815">
        <v>74369138</v>
      </c>
      <c r="J17" s="781">
        <v>373127042</v>
      </c>
      <c r="K17" s="781">
        <v>461946290</v>
      </c>
      <c r="L17" s="781">
        <v>284122457</v>
      </c>
      <c r="M17" s="781">
        <v>575669657</v>
      </c>
      <c r="N17" s="781">
        <v>483167730</v>
      </c>
      <c r="O17" s="781">
        <v>263150037</v>
      </c>
      <c r="P17" s="781">
        <v>32644513</v>
      </c>
      <c r="Q17" s="781">
        <v>159466123</v>
      </c>
      <c r="R17" s="809" t="s">
        <v>572</v>
      </c>
      <c r="S17" s="2727" t="s">
        <v>62</v>
      </c>
      <c r="T17" s="2632" t="s">
        <v>2435</v>
      </c>
      <c r="U17" s="811">
        <v>1</v>
      </c>
      <c r="V17" s="812">
        <v>42136</v>
      </c>
      <c r="W17" s="813" t="s">
        <v>98</v>
      </c>
      <c r="X17" s="4271" t="s">
        <v>1229</v>
      </c>
      <c r="Y17" s="814">
        <f t="shared" ca="1" si="4"/>
        <v>2.6055555555555556</v>
      </c>
      <c r="Z17" s="58"/>
    </row>
    <row r="18" spans="1:26" ht="14.1" customHeight="1" x14ac:dyDescent="0.2">
      <c r="A18" s="58">
        <v>6</v>
      </c>
      <c r="B18" s="59" t="s">
        <v>1685</v>
      </c>
      <c r="C18" s="1213" t="s">
        <v>1412</v>
      </c>
      <c r="D18" s="1272"/>
      <c r="E18" s="1994"/>
      <c r="F18" s="3782">
        <f t="shared" si="3"/>
        <v>110.41689025257197</v>
      </c>
      <c r="G18" s="805">
        <f>208.4+141.5+477.1+463.2+213.8+156+188.5+190.6+633.8</f>
        <v>2672.8999999999996</v>
      </c>
      <c r="H18" s="806">
        <f>172.5+142.3+491.3+446+222.4+143.1+146.9+94+486</f>
        <v>2344.5</v>
      </c>
      <c r="I18" s="807">
        <v>75418609</v>
      </c>
      <c r="J18" s="808">
        <v>374148733</v>
      </c>
      <c r="K18" s="808">
        <v>459900610</v>
      </c>
      <c r="L18" s="808">
        <v>286929481</v>
      </c>
      <c r="M18" s="808">
        <v>574442060</v>
      </c>
      <c r="N18" s="808">
        <v>483725771</v>
      </c>
      <c r="O18" s="781">
        <v>264529873</v>
      </c>
      <c r="P18" s="808">
        <v>33321514</v>
      </c>
      <c r="Q18" s="808">
        <v>163973392</v>
      </c>
      <c r="R18" s="809" t="s">
        <v>572</v>
      </c>
      <c r="S18" s="1444" t="s">
        <v>66</v>
      </c>
      <c r="T18" s="2632" t="s">
        <v>2435</v>
      </c>
      <c r="U18" s="811">
        <v>1</v>
      </c>
      <c r="V18" s="812">
        <v>41446</v>
      </c>
      <c r="W18" s="813" t="s">
        <v>98</v>
      </c>
      <c r="X18" s="4272" t="s">
        <v>1229</v>
      </c>
      <c r="Y18" s="57">
        <f t="shared" ca="1" si="4"/>
        <v>4.4972222222222218</v>
      </c>
      <c r="Z18" s="58">
        <v>6</v>
      </c>
    </row>
    <row r="19" spans="1:26" ht="14.1" customHeight="1" x14ac:dyDescent="0.2">
      <c r="A19" s="58"/>
      <c r="B19" s="1422" t="s">
        <v>1685</v>
      </c>
      <c r="C19" s="1787" t="s">
        <v>1587</v>
      </c>
      <c r="D19" s="1941"/>
      <c r="E19" s="1995"/>
      <c r="F19" s="3782">
        <f t="shared" si="3"/>
        <v>110.55296143219284</v>
      </c>
      <c r="G19" s="1430">
        <f>233.6+115.6+385.9+418.9+193.2+145.1+127.2+235.5+468.2</f>
        <v>2323.1999999999998</v>
      </c>
      <c r="H19" s="4037">
        <f>149.9+130.3+369.7+372.9+167.6+140.7+116.6+84.7+444.8</f>
        <v>1977.2</v>
      </c>
      <c r="I19" s="4052">
        <v>75359696</v>
      </c>
      <c r="J19" s="4054">
        <v>374153977</v>
      </c>
      <c r="K19" s="4054">
        <v>466996270</v>
      </c>
      <c r="L19" s="4054">
        <v>287686468</v>
      </c>
      <c r="M19" s="4054">
        <v>575595855</v>
      </c>
      <c r="N19" s="4054">
        <v>483925057</v>
      </c>
      <c r="O19" s="1346">
        <v>266039219</v>
      </c>
      <c r="P19" s="4054">
        <v>33334683</v>
      </c>
      <c r="Q19" s="4054">
        <v>163733292</v>
      </c>
      <c r="R19" s="1431" t="s">
        <v>572</v>
      </c>
      <c r="S19" s="2729" t="s">
        <v>62</v>
      </c>
      <c r="T19" s="2735" t="s">
        <v>2435</v>
      </c>
      <c r="U19" s="1432">
        <v>1</v>
      </c>
      <c r="V19" s="1433">
        <v>41823</v>
      </c>
      <c r="W19" s="1434" t="s">
        <v>98</v>
      </c>
      <c r="X19" s="4273" t="s">
        <v>1229</v>
      </c>
      <c r="Y19" s="816">
        <f t="shared" ca="1" si="4"/>
        <v>3.463888888888889</v>
      </c>
      <c r="Z19" s="58"/>
    </row>
    <row r="20" spans="1:26" ht="14.1" customHeight="1" x14ac:dyDescent="0.2">
      <c r="A20" s="58">
        <v>8</v>
      </c>
      <c r="B20" s="1415" t="s">
        <v>1103</v>
      </c>
      <c r="C20" s="3686" t="s">
        <v>2112</v>
      </c>
      <c r="D20" s="1539" t="s">
        <v>40</v>
      </c>
      <c r="E20" s="1994"/>
      <c r="F20" s="3782">
        <f t="shared" si="3"/>
        <v>111.20070427162352</v>
      </c>
      <c r="G20" s="3994">
        <f>259+71+400+553+301+268+103+277+903</f>
        <v>3135</v>
      </c>
      <c r="H20" s="4445">
        <f>70+97+346+402+28+156+103+153+759</f>
        <v>2114</v>
      </c>
      <c r="I20" s="4051">
        <v>77302000</v>
      </c>
      <c r="J20" s="817">
        <v>411356510</v>
      </c>
      <c r="K20" s="817">
        <v>454493800</v>
      </c>
      <c r="L20" s="817">
        <v>279408950</v>
      </c>
      <c r="M20" s="817">
        <v>576215426</v>
      </c>
      <c r="N20" s="817">
        <v>471125939</v>
      </c>
      <c r="O20" s="817">
        <v>301976409</v>
      </c>
      <c r="P20" s="817">
        <v>33252588</v>
      </c>
      <c r="Q20" s="4061">
        <v>143282521</v>
      </c>
      <c r="R20" s="4069" t="s">
        <v>2098</v>
      </c>
      <c r="S20" s="4094" t="s">
        <v>62</v>
      </c>
      <c r="T20" s="2634" t="s">
        <v>2435</v>
      </c>
      <c r="U20" s="4140">
        <v>8</v>
      </c>
      <c r="V20" s="4172">
        <v>42587</v>
      </c>
      <c r="W20" s="4199" t="s">
        <v>73</v>
      </c>
      <c r="X20" s="4199" t="s">
        <v>2778</v>
      </c>
      <c r="Y20" s="57">
        <f t="shared" ca="1" si="4"/>
        <v>1.375</v>
      </c>
      <c r="Z20" s="58">
        <v>8</v>
      </c>
    </row>
    <row r="21" spans="1:26" ht="14.1" customHeight="1" x14ac:dyDescent="0.2">
      <c r="A21" s="58"/>
      <c r="B21" s="68" t="s">
        <v>1685</v>
      </c>
      <c r="C21" s="1213" t="s">
        <v>1413</v>
      </c>
      <c r="D21" s="1272"/>
      <c r="E21" s="1995"/>
      <c r="F21" s="3782">
        <f t="shared" si="3"/>
        <v>111.48175851329657</v>
      </c>
      <c r="G21" s="818">
        <f>234.9+200+446.6+419.5+233.8+170.4+185+172.3+475.9</f>
        <v>2538.4</v>
      </c>
      <c r="H21" s="4038"/>
      <c r="I21" s="819">
        <v>75621740</v>
      </c>
      <c r="J21" s="820">
        <v>386194956</v>
      </c>
      <c r="K21" s="820">
        <v>463205174</v>
      </c>
      <c r="L21" s="820">
        <v>285838300</v>
      </c>
      <c r="M21" s="820">
        <v>574059514</v>
      </c>
      <c r="N21" s="820">
        <v>484204751</v>
      </c>
      <c r="O21" s="820">
        <v>268775465</v>
      </c>
      <c r="P21" s="820">
        <v>33915597</v>
      </c>
      <c r="Q21" s="820">
        <v>166349880</v>
      </c>
      <c r="R21" s="80" t="s">
        <v>572</v>
      </c>
      <c r="S21" s="91" t="s">
        <v>66</v>
      </c>
      <c r="T21" s="2735" t="s">
        <v>2435</v>
      </c>
      <c r="U21" s="82">
        <v>1</v>
      </c>
      <c r="V21" s="83">
        <v>41198</v>
      </c>
      <c r="W21" s="84" t="s">
        <v>98</v>
      </c>
      <c r="X21" s="4274" t="s">
        <v>1229</v>
      </c>
      <c r="Y21" s="85">
        <f t="shared" ca="1" si="4"/>
        <v>5.177777777777778</v>
      </c>
      <c r="Z21" s="58"/>
    </row>
    <row r="22" spans="1:26" ht="14.1" customHeight="1" x14ac:dyDescent="0.25">
      <c r="A22" s="58">
        <v>10</v>
      </c>
      <c r="B22" s="50" t="s">
        <v>1685</v>
      </c>
      <c r="C22" s="1215" t="s">
        <v>1825</v>
      </c>
      <c r="D22" s="1418" t="s">
        <v>40</v>
      </c>
      <c r="E22" s="1994" t="s">
        <v>2130</v>
      </c>
      <c r="F22" s="3782">
        <f t="shared" si="3"/>
        <v>111.77050193502562</v>
      </c>
      <c r="G22" s="821">
        <f>225.24+716.91+688.98+679.66+809.27+644.14+614.35+118.37+740.43</f>
        <v>5237.3500000000004</v>
      </c>
      <c r="H22" s="3724"/>
      <c r="I22" s="822">
        <v>71393199</v>
      </c>
      <c r="J22" s="823">
        <v>439235978</v>
      </c>
      <c r="K22" s="823">
        <v>454294944</v>
      </c>
      <c r="L22" s="823">
        <v>280953977</v>
      </c>
      <c r="M22" s="823">
        <v>576659878</v>
      </c>
      <c r="N22" s="823">
        <v>481499898</v>
      </c>
      <c r="O22" s="823">
        <v>290020188</v>
      </c>
      <c r="P22" s="823">
        <v>30863921</v>
      </c>
      <c r="Q22" s="823">
        <v>151001565</v>
      </c>
      <c r="R22" s="824" t="s">
        <v>1226</v>
      </c>
      <c r="S22" s="2723" t="s">
        <v>62</v>
      </c>
      <c r="T22" s="2631" t="s">
        <v>2435</v>
      </c>
      <c r="U22" s="834">
        <v>1</v>
      </c>
      <c r="V22" s="825">
        <v>42051</v>
      </c>
      <c r="W22" s="826" t="s">
        <v>417</v>
      </c>
      <c r="X22" s="4275" t="s">
        <v>1800</v>
      </c>
      <c r="Y22" s="89">
        <f t="shared" ca="1" si="4"/>
        <v>2.8444444444444446</v>
      </c>
      <c r="Z22" s="58">
        <v>10</v>
      </c>
    </row>
    <row r="23" spans="1:26" ht="14.1" customHeight="1" x14ac:dyDescent="0.2">
      <c r="A23" s="58"/>
      <c r="B23" s="68" t="s">
        <v>1685</v>
      </c>
      <c r="C23" s="4709" t="s">
        <v>2801</v>
      </c>
      <c r="D23" s="1941"/>
      <c r="E23" s="1995"/>
      <c r="F23" s="3782">
        <f t="shared" si="3"/>
        <v>111.87685947250932</v>
      </c>
      <c r="G23" s="1894">
        <f>638.22+911.52+1220.91+2520.43+901.87+726.17+1239.36+699.08+3984.57</f>
        <v>12842.13</v>
      </c>
      <c r="H23" s="4039">
        <f>62.58+20.03+21.63+36.33+25.87+5.55+32.86+74.5+18.83</f>
        <v>298.18</v>
      </c>
      <c r="I23" s="815">
        <v>73326392</v>
      </c>
      <c r="J23" s="828">
        <v>347971806</v>
      </c>
      <c r="K23" s="828">
        <v>487002929</v>
      </c>
      <c r="L23" s="828">
        <v>293796218</v>
      </c>
      <c r="M23" s="828">
        <v>571877430</v>
      </c>
      <c r="N23" s="828">
        <v>484616521</v>
      </c>
      <c r="O23" s="828">
        <v>266714145</v>
      </c>
      <c r="P23" s="828">
        <v>32742019</v>
      </c>
      <c r="Q23" s="828">
        <v>166929016</v>
      </c>
      <c r="R23" s="1850" t="s">
        <v>146</v>
      </c>
      <c r="S23" s="2728" t="s">
        <v>62</v>
      </c>
      <c r="T23" s="2634" t="s">
        <v>2435</v>
      </c>
      <c r="U23" s="3336">
        <v>2</v>
      </c>
      <c r="V23" s="1851">
        <v>42986</v>
      </c>
      <c r="W23" s="1852" t="s">
        <v>73</v>
      </c>
      <c r="X23" s="4276" t="s">
        <v>2584</v>
      </c>
      <c r="Y23" s="78">
        <f t="shared" ca="1" si="4"/>
        <v>0.28333333333333333</v>
      </c>
      <c r="Z23" s="58"/>
    </row>
    <row r="24" spans="1:26" ht="14.1" customHeight="1" x14ac:dyDescent="0.2">
      <c r="A24" s="58">
        <v>12</v>
      </c>
      <c r="B24" s="1415" t="s">
        <v>1103</v>
      </c>
      <c r="C24" s="1213" t="s">
        <v>646</v>
      </c>
      <c r="D24" s="1539" t="s">
        <v>40</v>
      </c>
      <c r="E24" s="1994"/>
      <c r="F24" s="3782">
        <f t="shared" si="3"/>
        <v>111.99101760662214</v>
      </c>
      <c r="G24" s="3712">
        <f>1074+54+1903+434+433+668+130+190+375</f>
        <v>5261</v>
      </c>
      <c r="H24" s="806">
        <f>44+50+117+72+167+78+63+181</f>
        <v>772</v>
      </c>
      <c r="I24" s="815">
        <v>68304203</v>
      </c>
      <c r="J24" s="828">
        <v>351107079</v>
      </c>
      <c r="K24" s="828">
        <v>489483982</v>
      </c>
      <c r="L24" s="828">
        <v>266960540</v>
      </c>
      <c r="M24" s="828">
        <v>578428557</v>
      </c>
      <c r="N24" s="828">
        <v>463570395</v>
      </c>
      <c r="O24" s="828">
        <v>303459585</v>
      </c>
      <c r="P24" s="828">
        <v>34744226</v>
      </c>
      <c r="Q24" s="828">
        <v>184970713</v>
      </c>
      <c r="R24" s="829" t="s">
        <v>70</v>
      </c>
      <c r="S24" s="810" t="s">
        <v>66</v>
      </c>
      <c r="T24" s="2632" t="s">
        <v>2435</v>
      </c>
      <c r="U24" s="833">
        <v>1</v>
      </c>
      <c r="V24" s="830">
        <v>41255</v>
      </c>
      <c r="W24" s="831" t="s">
        <v>71</v>
      </c>
      <c r="X24" s="4277" t="s">
        <v>1250</v>
      </c>
      <c r="Y24" s="78">
        <f t="shared" ca="1" si="4"/>
        <v>5.0222222222222221</v>
      </c>
      <c r="Z24" s="58">
        <v>12</v>
      </c>
    </row>
    <row r="25" spans="1:26" ht="14.1" customHeight="1" x14ac:dyDescent="0.2">
      <c r="A25" s="58"/>
      <c r="B25" s="68" t="s">
        <v>1685</v>
      </c>
      <c r="C25" s="4587" t="s">
        <v>1824</v>
      </c>
      <c r="D25" s="1941" t="s">
        <v>40</v>
      </c>
      <c r="E25" s="1995" t="s">
        <v>2130</v>
      </c>
      <c r="F25" s="3782">
        <f t="shared" ref="F25:F35" si="5">SUM(I25/I$11,J25/J$11,K25/K$11,L25/L$11,M25/M$11,N25/N$11,O25/O$11,P25/P$11,Q25/Q$11)/9*100+(G25/5000)+(IF(H25 = 0,G25,H25)/5000)</f>
        <v>112.26128113366961</v>
      </c>
      <c r="G25" s="1893">
        <f>225.88+705.69+658.1+736.3+697.94+581.66+601.68+116.99+749</f>
        <v>5073.24</v>
      </c>
      <c r="H25" s="1889"/>
      <c r="I25" s="819">
        <v>72212430</v>
      </c>
      <c r="J25" s="820">
        <v>440703353</v>
      </c>
      <c r="K25" s="820">
        <v>455697995</v>
      </c>
      <c r="L25" s="820">
        <v>281556418</v>
      </c>
      <c r="M25" s="820">
        <v>577178690</v>
      </c>
      <c r="N25" s="820">
        <v>481923105</v>
      </c>
      <c r="O25" s="820">
        <v>290909227</v>
      </c>
      <c r="P25" s="820">
        <v>31205269</v>
      </c>
      <c r="Q25" s="820">
        <v>152663150</v>
      </c>
      <c r="R25" s="1879" t="s">
        <v>1226</v>
      </c>
      <c r="S25" s="2722" t="s">
        <v>62</v>
      </c>
      <c r="T25" s="2737" t="s">
        <v>2435</v>
      </c>
      <c r="U25" s="3763">
        <v>1</v>
      </c>
      <c r="V25" s="1880">
        <v>42045</v>
      </c>
      <c r="W25" s="1881" t="s">
        <v>417</v>
      </c>
      <c r="X25" s="4278" t="s">
        <v>1800</v>
      </c>
      <c r="Y25" s="85">
        <f t="shared" ref="Y25:Y35" ca="1" si="6">YEARFRAC(V25,Y$6)</f>
        <v>2.8611111111111112</v>
      </c>
      <c r="Z25" s="58"/>
    </row>
    <row r="26" spans="1:26" ht="14.1" customHeight="1" x14ac:dyDescent="0.25">
      <c r="A26" s="58">
        <v>14</v>
      </c>
      <c r="B26" s="798" t="s">
        <v>1103</v>
      </c>
      <c r="C26" s="1213" t="s">
        <v>747</v>
      </c>
      <c r="D26" s="1418"/>
      <c r="E26" s="1994"/>
      <c r="F26" s="3782">
        <f t="shared" si="5"/>
        <v>112.3854252781522</v>
      </c>
      <c r="G26" s="821">
        <f>214+11+803+330+671+402+55+130+175</f>
        <v>2791</v>
      </c>
      <c r="H26" s="3842">
        <f>55+4+430+76+385+228+51+23+32</f>
        <v>1284</v>
      </c>
      <c r="I26" s="822">
        <v>77381984</v>
      </c>
      <c r="J26" s="823">
        <v>346114516</v>
      </c>
      <c r="K26" s="823">
        <v>469040251</v>
      </c>
      <c r="L26" s="823">
        <v>302565445</v>
      </c>
      <c r="M26" s="823">
        <v>572140371</v>
      </c>
      <c r="N26" s="823">
        <v>484239749</v>
      </c>
      <c r="O26" s="823">
        <v>276707145</v>
      </c>
      <c r="P26" s="823">
        <v>35424470</v>
      </c>
      <c r="Q26" s="823">
        <v>172140357</v>
      </c>
      <c r="R26" s="824" t="s">
        <v>68</v>
      </c>
      <c r="S26" s="2723" t="s">
        <v>62</v>
      </c>
      <c r="T26" s="2631" t="s">
        <v>2435</v>
      </c>
      <c r="U26" s="2725">
        <v>4</v>
      </c>
      <c r="V26" s="825">
        <v>40851</v>
      </c>
      <c r="W26" s="826" t="s">
        <v>69</v>
      </c>
      <c r="X26" s="4275" t="s">
        <v>630</v>
      </c>
      <c r="Y26" s="89">
        <f t="shared" ca="1" si="6"/>
        <v>6.1277777777777782</v>
      </c>
      <c r="Z26" s="58">
        <v>14</v>
      </c>
    </row>
    <row r="27" spans="1:26" ht="14.1" customHeight="1" x14ac:dyDescent="0.2">
      <c r="A27" s="79"/>
      <c r="B27" s="4619" t="s">
        <v>1103</v>
      </c>
      <c r="C27" s="3954" t="s">
        <v>2785</v>
      </c>
      <c r="D27" s="1941"/>
      <c r="E27" s="1995"/>
      <c r="F27" s="3782">
        <f t="shared" si="5"/>
        <v>112.70947715737711</v>
      </c>
      <c r="G27" s="4621">
        <f>305+600+204+223+262+321+62+166+149</f>
        <v>2292</v>
      </c>
      <c r="H27" s="4445">
        <f>98+54+128+183+192+206+62+146+114</f>
        <v>1183</v>
      </c>
      <c r="I27" s="815">
        <v>73023304</v>
      </c>
      <c r="J27" s="828">
        <v>414536042</v>
      </c>
      <c r="K27" s="828">
        <v>474678493</v>
      </c>
      <c r="L27" s="828">
        <v>274663420</v>
      </c>
      <c r="M27" s="828">
        <v>556347267</v>
      </c>
      <c r="N27" s="828">
        <v>438416279</v>
      </c>
      <c r="O27" s="828">
        <v>301657338</v>
      </c>
      <c r="P27" s="828">
        <v>35519216</v>
      </c>
      <c r="Q27" s="3223">
        <v>176591802</v>
      </c>
      <c r="R27" s="1850" t="s">
        <v>2253</v>
      </c>
      <c r="S27" s="2728" t="s">
        <v>62</v>
      </c>
      <c r="T27" s="2634" t="s">
        <v>2435</v>
      </c>
      <c r="U27" s="3336">
        <v>4</v>
      </c>
      <c r="V27" s="1851">
        <v>43023</v>
      </c>
      <c r="W27" s="1852" t="s">
        <v>76</v>
      </c>
      <c r="X27" s="4276" t="s">
        <v>2769</v>
      </c>
      <c r="Y27" s="78">
        <f t="shared" ca="1" si="6"/>
        <v>0.18055555555555555</v>
      </c>
      <c r="Z27" s="79"/>
    </row>
    <row r="28" spans="1:26" ht="14.1" customHeight="1" x14ac:dyDescent="0.2">
      <c r="A28" s="79">
        <v>16</v>
      </c>
      <c r="B28" s="4620" t="s">
        <v>1103</v>
      </c>
      <c r="C28" s="4492" t="s">
        <v>2586</v>
      </c>
      <c r="D28" s="1539"/>
      <c r="E28" s="1994"/>
      <c r="F28" s="3782">
        <f t="shared" si="5"/>
        <v>112.78090977208457</v>
      </c>
      <c r="G28" s="4602">
        <f>361+567+209+279+350+304+80+226+164</f>
        <v>2540</v>
      </c>
      <c r="H28" s="1345"/>
      <c r="I28" s="807">
        <v>72746947</v>
      </c>
      <c r="J28" s="827">
        <v>414536042</v>
      </c>
      <c r="K28" s="827">
        <v>472823130</v>
      </c>
      <c r="L28" s="827">
        <v>271337397</v>
      </c>
      <c r="M28" s="827">
        <v>558244601</v>
      </c>
      <c r="N28" s="827">
        <v>438117471</v>
      </c>
      <c r="O28" s="828">
        <v>301657338</v>
      </c>
      <c r="P28" s="827">
        <v>35369853</v>
      </c>
      <c r="Q28" s="827">
        <v>176591803</v>
      </c>
      <c r="R28" s="829" t="s">
        <v>2253</v>
      </c>
      <c r="S28" s="2727" t="s">
        <v>62</v>
      </c>
      <c r="T28" s="2632" t="s">
        <v>2435</v>
      </c>
      <c r="U28" s="2726">
        <v>4</v>
      </c>
      <c r="V28" s="830">
        <v>42941</v>
      </c>
      <c r="W28" s="831" t="s">
        <v>76</v>
      </c>
      <c r="X28" s="4277" t="s">
        <v>2769</v>
      </c>
      <c r="Y28" s="78">
        <f t="shared" ca="1" si="6"/>
        <v>0.40277777777777779</v>
      </c>
      <c r="Z28" s="79">
        <v>16</v>
      </c>
    </row>
    <row r="29" spans="1:26" ht="14.1" customHeight="1" x14ac:dyDescent="0.25">
      <c r="A29" s="79"/>
      <c r="B29" s="791" t="s">
        <v>1103</v>
      </c>
      <c r="C29" s="4600" t="s">
        <v>2763</v>
      </c>
      <c r="D29" s="4601"/>
      <c r="E29" s="1993"/>
      <c r="F29" s="3906">
        <f t="shared" si="5"/>
        <v>113.16429226680756</v>
      </c>
      <c r="G29" s="4603">
        <f>463+57+721+1137+1401+1123+981+295+1238</f>
        <v>7416</v>
      </c>
      <c r="H29" s="4605">
        <f>111+101+333+541+1066+110+124+210</f>
        <v>2596</v>
      </c>
      <c r="I29" s="819">
        <v>76614559</v>
      </c>
      <c r="J29" s="820">
        <v>343812879</v>
      </c>
      <c r="K29" s="820">
        <v>485395149</v>
      </c>
      <c r="L29" s="820">
        <v>286131614</v>
      </c>
      <c r="M29" s="820">
        <v>573646514</v>
      </c>
      <c r="N29" s="820">
        <v>481541757</v>
      </c>
      <c r="O29" s="820">
        <v>266877734</v>
      </c>
      <c r="P29" s="820">
        <v>34882268</v>
      </c>
      <c r="Q29" s="820">
        <v>181306077</v>
      </c>
      <c r="R29" s="4607" t="s">
        <v>61</v>
      </c>
      <c r="S29" s="4609" t="s">
        <v>62</v>
      </c>
      <c r="T29" s="3756" t="s">
        <v>2435</v>
      </c>
      <c r="U29" s="4611">
        <v>4</v>
      </c>
      <c r="V29" s="4613">
        <v>38777</v>
      </c>
      <c r="W29" s="4615" t="s">
        <v>63</v>
      </c>
      <c r="X29" s="4617" t="s">
        <v>72</v>
      </c>
      <c r="Y29" s="4618">
        <f t="shared" ca="1" si="6"/>
        <v>11.802777777777777</v>
      </c>
      <c r="Z29" s="79"/>
    </row>
    <row r="30" spans="1:26" ht="14.1" customHeight="1" x14ac:dyDescent="0.25">
      <c r="A30" s="79">
        <v>18</v>
      </c>
      <c r="B30" s="50" t="s">
        <v>1685</v>
      </c>
      <c r="C30" s="4493" t="s">
        <v>733</v>
      </c>
      <c r="D30" s="1418"/>
      <c r="E30" s="1994" t="s">
        <v>2130</v>
      </c>
      <c r="F30" s="3782">
        <f t="shared" si="5"/>
        <v>113.64027573279304</v>
      </c>
      <c r="G30" s="3711">
        <f>147+359+370+378+397+360+474+84+474</f>
        <v>3043</v>
      </c>
      <c r="H30" s="3842">
        <f>175+379+410+433+448+424+426+92+619</f>
        <v>3406</v>
      </c>
      <c r="I30" s="822">
        <v>78398914</v>
      </c>
      <c r="J30" s="823">
        <v>391606412</v>
      </c>
      <c r="K30" s="823">
        <v>466979717</v>
      </c>
      <c r="L30" s="823">
        <v>289869520</v>
      </c>
      <c r="M30" s="823">
        <v>577169132</v>
      </c>
      <c r="N30" s="823">
        <v>484047738</v>
      </c>
      <c r="O30" s="823">
        <v>296599146</v>
      </c>
      <c r="P30" s="823">
        <v>32892892</v>
      </c>
      <c r="Q30" s="823">
        <v>167908122</v>
      </c>
      <c r="R30" s="824" t="s">
        <v>509</v>
      </c>
      <c r="S30" s="3864" t="s">
        <v>66</v>
      </c>
      <c r="T30" s="2631" t="s">
        <v>2435</v>
      </c>
      <c r="U30" s="834">
        <v>1</v>
      </c>
      <c r="V30" s="825">
        <v>39562</v>
      </c>
      <c r="W30" s="826" t="s">
        <v>73</v>
      </c>
      <c r="X30" s="4275" t="s">
        <v>1229</v>
      </c>
      <c r="Y30" s="89">
        <f t="shared" ca="1" si="6"/>
        <v>9.655555555555555</v>
      </c>
      <c r="Z30" s="79">
        <v>18</v>
      </c>
    </row>
    <row r="31" spans="1:26" ht="14.1" customHeight="1" x14ac:dyDescent="0.2">
      <c r="A31" s="79"/>
      <c r="B31" s="68" t="s">
        <v>1685</v>
      </c>
      <c r="C31" s="1214" t="s">
        <v>1823</v>
      </c>
      <c r="D31" s="1941" t="s">
        <v>40</v>
      </c>
      <c r="E31" s="1995" t="s">
        <v>2130</v>
      </c>
      <c r="F31" s="3782">
        <f t="shared" si="5"/>
        <v>113.76785204913537</v>
      </c>
      <c r="G31" s="832">
        <f>244.868+682.833+696.55+701.233+760.324+633.119+651.34+121.921+796.71</f>
        <v>5288.8980000000001</v>
      </c>
      <c r="H31" s="842"/>
      <c r="I31" s="815">
        <v>74963812</v>
      </c>
      <c r="J31" s="828">
        <v>459549468</v>
      </c>
      <c r="K31" s="828">
        <v>456703885</v>
      </c>
      <c r="L31" s="828">
        <v>281086733</v>
      </c>
      <c r="M31" s="828">
        <v>577411076</v>
      </c>
      <c r="N31" s="828">
        <v>482079510</v>
      </c>
      <c r="O31" s="828">
        <v>293388393</v>
      </c>
      <c r="P31" s="828">
        <v>31488791</v>
      </c>
      <c r="Q31" s="3223">
        <v>154292837</v>
      </c>
      <c r="R31" s="829" t="s">
        <v>1226</v>
      </c>
      <c r="S31" s="2727" t="s">
        <v>62</v>
      </c>
      <c r="T31" s="2632" t="s">
        <v>2435</v>
      </c>
      <c r="U31" s="833">
        <v>1</v>
      </c>
      <c r="V31" s="830">
        <v>42040</v>
      </c>
      <c r="W31" s="831" t="s">
        <v>417</v>
      </c>
      <c r="X31" s="4277" t="s">
        <v>1800</v>
      </c>
      <c r="Y31" s="78">
        <f t="shared" ca="1" si="6"/>
        <v>2.875</v>
      </c>
      <c r="Z31" s="79"/>
    </row>
    <row r="32" spans="1:26" ht="14.1" customHeight="1" x14ac:dyDescent="0.2">
      <c r="A32" s="79">
        <v>20</v>
      </c>
      <c r="B32" s="59" t="s">
        <v>1685</v>
      </c>
      <c r="C32" s="4599" t="s">
        <v>1777</v>
      </c>
      <c r="D32" s="1943" t="s">
        <v>40</v>
      </c>
      <c r="E32" s="1994"/>
      <c r="F32" s="3782">
        <f t="shared" si="5"/>
        <v>114.08721061211013</v>
      </c>
      <c r="G32" s="4602">
        <f>465.11+1133.28+1126.19+1245.88+1038.49+923.35+968.15+397.18+1468.17</f>
        <v>8765.7999999999993</v>
      </c>
      <c r="H32" s="842"/>
      <c r="I32" s="815">
        <v>73831697</v>
      </c>
      <c r="J32" s="828">
        <v>424982356</v>
      </c>
      <c r="K32" s="828">
        <v>446512625</v>
      </c>
      <c r="L32" s="828">
        <v>284259827</v>
      </c>
      <c r="M32" s="828">
        <v>576699643</v>
      </c>
      <c r="N32" s="828">
        <v>480748568</v>
      </c>
      <c r="O32" s="828">
        <v>286358642</v>
      </c>
      <c r="P32" s="828">
        <v>31900064</v>
      </c>
      <c r="Q32" s="828">
        <v>161578265</v>
      </c>
      <c r="R32" s="829" t="s">
        <v>81</v>
      </c>
      <c r="S32" s="2727" t="s">
        <v>62</v>
      </c>
      <c r="T32" s="2632" t="s">
        <v>2435</v>
      </c>
      <c r="U32" s="2726">
        <v>8</v>
      </c>
      <c r="V32" s="830">
        <v>41962</v>
      </c>
      <c r="W32" s="831" t="s">
        <v>76</v>
      </c>
      <c r="X32" s="4277" t="s">
        <v>1248</v>
      </c>
      <c r="Y32" s="78">
        <f t="shared" ca="1" si="6"/>
        <v>3.0861111111111112</v>
      </c>
      <c r="Z32" s="79">
        <v>20</v>
      </c>
    </row>
    <row r="33" spans="1:26" ht="14.1" customHeight="1" x14ac:dyDescent="0.2">
      <c r="A33" s="79"/>
      <c r="B33" s="798" t="s">
        <v>1103</v>
      </c>
      <c r="C33" s="4598" t="s">
        <v>2112</v>
      </c>
      <c r="D33" s="1272" t="s">
        <v>40</v>
      </c>
      <c r="E33" s="1995"/>
      <c r="F33" s="3782">
        <f t="shared" si="5"/>
        <v>114.32493978921057</v>
      </c>
      <c r="G33" s="4007">
        <f>132+74+347+238+191+175+96+319</f>
        <v>1572</v>
      </c>
      <c r="H33" s="4604">
        <f>57+89+248+158+12+187+92+100+130</f>
        <v>1073</v>
      </c>
      <c r="I33" s="3728">
        <v>78881496</v>
      </c>
      <c r="J33" s="3730">
        <v>411430983</v>
      </c>
      <c r="K33" s="3730">
        <v>458949277</v>
      </c>
      <c r="L33" s="820">
        <v>292369020</v>
      </c>
      <c r="M33" s="820">
        <v>577040723</v>
      </c>
      <c r="N33" s="820">
        <v>471642213</v>
      </c>
      <c r="O33" s="820">
        <v>301976409</v>
      </c>
      <c r="P33" s="820">
        <v>35369789</v>
      </c>
      <c r="Q33" s="1895">
        <v>167869219</v>
      </c>
      <c r="R33" s="1879" t="s">
        <v>2098</v>
      </c>
      <c r="S33" s="2722" t="s">
        <v>62</v>
      </c>
      <c r="T33" s="2737" t="s">
        <v>2435</v>
      </c>
      <c r="U33" s="3883">
        <v>8</v>
      </c>
      <c r="V33" s="1880">
        <v>42560</v>
      </c>
      <c r="W33" s="1881" t="s">
        <v>73</v>
      </c>
      <c r="X33" s="4278" t="s">
        <v>2779</v>
      </c>
      <c r="Y33" s="85">
        <f t="shared" ca="1" si="6"/>
        <v>1.4472222222222222</v>
      </c>
      <c r="Z33" s="79"/>
    </row>
    <row r="34" spans="1:26" ht="14.1" customHeight="1" x14ac:dyDescent="0.2">
      <c r="A34" s="79">
        <v>22</v>
      </c>
      <c r="B34" s="50" t="s">
        <v>1685</v>
      </c>
      <c r="C34" s="1213" t="s">
        <v>1230</v>
      </c>
      <c r="D34" s="1272" t="s">
        <v>40</v>
      </c>
      <c r="E34" s="1994"/>
      <c r="F34" s="3782">
        <f t="shared" si="5"/>
        <v>114.45205945946971</v>
      </c>
      <c r="G34" s="3702">
        <f>750.3+1128.9+1288.1+1807.6+1703.1+1196.4+945.3+627.9+2302.5</f>
        <v>11750.099999999999</v>
      </c>
      <c r="H34" s="1345"/>
      <c r="I34" s="836">
        <v>71858850</v>
      </c>
      <c r="J34" s="837">
        <v>425204026</v>
      </c>
      <c r="K34" s="837">
        <v>447512299</v>
      </c>
      <c r="L34" s="837">
        <v>283252643</v>
      </c>
      <c r="M34" s="837">
        <v>576622979</v>
      </c>
      <c r="N34" s="780">
        <v>480937821</v>
      </c>
      <c r="O34" s="780">
        <v>286204166</v>
      </c>
      <c r="P34" s="780">
        <v>31381272</v>
      </c>
      <c r="Q34" s="780">
        <v>157683624</v>
      </c>
      <c r="R34" s="73" t="s">
        <v>81</v>
      </c>
      <c r="S34" s="2762" t="s">
        <v>62</v>
      </c>
      <c r="T34" s="2632" t="s">
        <v>2435</v>
      </c>
      <c r="U34" s="2724">
        <v>8</v>
      </c>
      <c r="V34" s="76">
        <v>41446</v>
      </c>
      <c r="W34" s="77" t="s">
        <v>76</v>
      </c>
      <c r="X34" s="4279" t="s">
        <v>1248</v>
      </c>
      <c r="Y34" s="78">
        <f t="shared" ca="1" si="6"/>
        <v>4.4972222222222218</v>
      </c>
      <c r="Z34" s="79">
        <v>22</v>
      </c>
    </row>
    <row r="35" spans="1:26" ht="14.1" customHeight="1" x14ac:dyDescent="0.25">
      <c r="A35" s="79"/>
      <c r="B35" s="4596" t="s">
        <v>1103</v>
      </c>
      <c r="C35" s="4597" t="s">
        <v>2587</v>
      </c>
      <c r="D35" s="4586"/>
      <c r="E35" s="1995"/>
      <c r="F35" s="3782">
        <f t="shared" si="5"/>
        <v>114.59764048377474</v>
      </c>
      <c r="G35" s="3217">
        <f>413+32+985+980+1670+1008+828+152+1000</f>
        <v>7068</v>
      </c>
      <c r="H35" s="2318">
        <f>99+46+85+841+106+850+109+109+201+619</f>
        <v>3065</v>
      </c>
      <c r="I35" s="3727">
        <v>79404688</v>
      </c>
      <c r="J35" s="1442">
        <v>345763924</v>
      </c>
      <c r="K35" s="1442">
        <v>497270881</v>
      </c>
      <c r="L35" s="1442">
        <v>286859957</v>
      </c>
      <c r="M35" s="1442">
        <v>586211755</v>
      </c>
      <c r="N35" s="1442">
        <v>484970039</v>
      </c>
      <c r="O35" s="1442">
        <v>266988020</v>
      </c>
      <c r="P35" s="1442">
        <v>35221720</v>
      </c>
      <c r="Q35" s="1442">
        <v>182165440</v>
      </c>
      <c r="R35" s="4606" t="s">
        <v>61</v>
      </c>
      <c r="S35" s="4608" t="s">
        <v>62</v>
      </c>
      <c r="T35" s="2633" t="s">
        <v>2435</v>
      </c>
      <c r="U35" s="4610">
        <v>4</v>
      </c>
      <c r="V35" s="4612">
        <v>38777</v>
      </c>
      <c r="W35" s="4614" t="s">
        <v>63</v>
      </c>
      <c r="X35" s="4616" t="s">
        <v>72</v>
      </c>
      <c r="Y35" s="838">
        <f t="shared" ca="1" si="6"/>
        <v>11.802777777777777</v>
      </c>
      <c r="Z35" s="79"/>
    </row>
    <row r="36" spans="1:26" ht="14.1" customHeight="1" x14ac:dyDescent="0.2">
      <c r="A36" s="79">
        <v>24</v>
      </c>
      <c r="B36" s="3926" t="s">
        <v>1685</v>
      </c>
      <c r="C36" s="1216" t="s">
        <v>1757</v>
      </c>
      <c r="D36" s="1943"/>
      <c r="E36" s="1994" t="s">
        <v>2130</v>
      </c>
      <c r="F36" s="3782">
        <f t="shared" si="3"/>
        <v>115.08245390017996</v>
      </c>
      <c r="G36" s="839">
        <f>257.5+631.7+610.6+651.7+634.5+524.3+552.5+137.1+783.4</f>
        <v>4783.3</v>
      </c>
      <c r="H36" s="1344"/>
      <c r="I36" s="3729">
        <v>82529921</v>
      </c>
      <c r="J36" s="3731">
        <v>450157372</v>
      </c>
      <c r="K36" s="1849">
        <v>458055272</v>
      </c>
      <c r="L36" s="1849">
        <v>283140276</v>
      </c>
      <c r="M36" s="1849">
        <v>577002867</v>
      </c>
      <c r="N36" s="1849">
        <v>482161433</v>
      </c>
      <c r="O36" s="1849">
        <v>294329466</v>
      </c>
      <c r="P36" s="1849">
        <v>32210270</v>
      </c>
      <c r="Q36" s="822">
        <v>156605126</v>
      </c>
      <c r="R36" s="824" t="s">
        <v>1226</v>
      </c>
      <c r="S36" s="3864" t="s">
        <v>66</v>
      </c>
      <c r="T36" s="2631" t="s">
        <v>2435</v>
      </c>
      <c r="U36" s="834">
        <v>1</v>
      </c>
      <c r="V36" s="825">
        <v>41442</v>
      </c>
      <c r="W36" s="826" t="s">
        <v>417</v>
      </c>
      <c r="X36" s="4275" t="s">
        <v>246</v>
      </c>
      <c r="Y36" s="89">
        <f t="shared" ca="1" si="4"/>
        <v>4.5083333333333337</v>
      </c>
      <c r="Z36" s="79">
        <v>24</v>
      </c>
    </row>
    <row r="37" spans="1:26" ht="14.1" customHeight="1" x14ac:dyDescent="0.25">
      <c r="A37" s="79"/>
      <c r="B37" s="798" t="s">
        <v>1103</v>
      </c>
      <c r="C37" s="1213" t="s">
        <v>1828</v>
      </c>
      <c r="D37" s="1418"/>
      <c r="E37" s="1995"/>
      <c r="F37" s="3782">
        <f t="shared" si="3"/>
        <v>115.46706717498836</v>
      </c>
      <c r="G37" s="832">
        <f>50+9+51+29+115+92+16+23+91</f>
        <v>476</v>
      </c>
      <c r="H37" s="1345"/>
      <c r="I37" s="840">
        <v>81589626</v>
      </c>
      <c r="J37" s="780">
        <v>347884435</v>
      </c>
      <c r="K37" s="780">
        <v>491875984</v>
      </c>
      <c r="L37" s="780">
        <v>299055780</v>
      </c>
      <c r="M37" s="780">
        <v>579100338</v>
      </c>
      <c r="N37" s="780">
        <v>485878580</v>
      </c>
      <c r="O37" s="780">
        <v>277080042</v>
      </c>
      <c r="P37" s="841">
        <v>38903203</v>
      </c>
      <c r="Q37" s="780">
        <v>185674185</v>
      </c>
      <c r="R37" s="73" t="s">
        <v>68</v>
      </c>
      <c r="S37" s="2762" t="s">
        <v>62</v>
      </c>
      <c r="T37" s="2632" t="s">
        <v>2435</v>
      </c>
      <c r="U37" s="2724">
        <v>4</v>
      </c>
      <c r="V37" s="76">
        <v>40851</v>
      </c>
      <c r="W37" s="77" t="s">
        <v>69</v>
      </c>
      <c r="X37" s="4279" t="s">
        <v>630</v>
      </c>
      <c r="Y37" s="78">
        <f t="shared" ca="1" si="4"/>
        <v>6.1277777777777782</v>
      </c>
      <c r="Z37" s="79"/>
    </row>
    <row r="38" spans="1:26" ht="14.1" customHeight="1" x14ac:dyDescent="0.2">
      <c r="A38" s="79">
        <v>26</v>
      </c>
      <c r="B38" s="1415" t="s">
        <v>1103</v>
      </c>
      <c r="C38" s="1213" t="s">
        <v>2224</v>
      </c>
      <c r="D38" s="1943" t="s">
        <v>40</v>
      </c>
      <c r="E38" s="1994"/>
      <c r="F38" s="3782">
        <f t="shared" si="3"/>
        <v>115.98751964613655</v>
      </c>
      <c r="G38" s="832">
        <f>157+51+276+302+331+280+122+110+462</f>
        <v>2091</v>
      </c>
      <c r="H38" s="1345"/>
      <c r="I38" s="840">
        <v>80135168</v>
      </c>
      <c r="J38" s="840">
        <v>351107079</v>
      </c>
      <c r="K38" s="840">
        <v>501293683</v>
      </c>
      <c r="L38" s="840">
        <v>302192145</v>
      </c>
      <c r="M38" s="840">
        <v>578708723</v>
      </c>
      <c r="N38" s="840">
        <v>490303204</v>
      </c>
      <c r="O38" s="840">
        <v>303462080</v>
      </c>
      <c r="P38" s="840">
        <v>34886587</v>
      </c>
      <c r="Q38" s="840">
        <v>184182322</v>
      </c>
      <c r="R38" s="73" t="s">
        <v>70</v>
      </c>
      <c r="S38" s="74" t="s">
        <v>66</v>
      </c>
      <c r="T38" s="2632" t="s">
        <v>2435</v>
      </c>
      <c r="U38" s="2724">
        <v>2</v>
      </c>
      <c r="V38" s="76">
        <v>41255</v>
      </c>
      <c r="W38" s="77" t="s">
        <v>2215</v>
      </c>
      <c r="X38" s="4279" t="s">
        <v>2771</v>
      </c>
      <c r="Y38" s="78">
        <f t="shared" ca="1" si="4"/>
        <v>5.0222222222222221</v>
      </c>
      <c r="Z38" s="79">
        <v>26</v>
      </c>
    </row>
    <row r="39" spans="1:26" ht="14.1" customHeight="1" x14ac:dyDescent="0.2">
      <c r="A39" s="79"/>
      <c r="B39" s="835" t="s">
        <v>1103</v>
      </c>
      <c r="C39" s="3954" t="s">
        <v>2223</v>
      </c>
      <c r="D39" s="1272"/>
      <c r="E39" s="1995"/>
      <c r="F39" s="3782">
        <f t="shared" si="3"/>
        <v>116.00816823037512</v>
      </c>
      <c r="G39" s="1893">
        <f>110.1+44.2+193+207.3+197.6+163.6+89.6+176.6+322.9</f>
        <v>1504.9</v>
      </c>
      <c r="H39" s="4041"/>
      <c r="I39" s="819">
        <v>78239941</v>
      </c>
      <c r="J39" s="819">
        <v>351107743</v>
      </c>
      <c r="K39" s="819">
        <v>501327715</v>
      </c>
      <c r="L39" s="819">
        <v>302570735</v>
      </c>
      <c r="M39" s="819">
        <v>578745488</v>
      </c>
      <c r="N39" s="819">
        <v>490302518</v>
      </c>
      <c r="O39" s="819">
        <v>303379251</v>
      </c>
      <c r="P39" s="820">
        <v>35705949</v>
      </c>
      <c r="Q39" s="1895">
        <v>187382529</v>
      </c>
      <c r="R39" s="1879" t="s">
        <v>70</v>
      </c>
      <c r="S39" s="2722" t="s">
        <v>62</v>
      </c>
      <c r="T39" s="2737" t="s">
        <v>2435</v>
      </c>
      <c r="U39" s="3883">
        <v>2</v>
      </c>
      <c r="V39" s="1880">
        <v>42651</v>
      </c>
      <c r="W39" s="1881" t="s">
        <v>2215</v>
      </c>
      <c r="X39" s="4278" t="s">
        <v>2770</v>
      </c>
      <c r="Y39" s="85">
        <f t="shared" ca="1" si="4"/>
        <v>1.2</v>
      </c>
      <c r="Z39" s="79"/>
    </row>
    <row r="40" spans="1:26" ht="14.1" customHeight="1" x14ac:dyDescent="0.2">
      <c r="A40" s="79">
        <v>28</v>
      </c>
      <c r="B40" s="59" t="s">
        <v>1685</v>
      </c>
      <c r="C40" s="1215" t="s">
        <v>1841</v>
      </c>
      <c r="D40" s="1539" t="s">
        <v>40</v>
      </c>
      <c r="E40" s="1994"/>
      <c r="F40" s="3782">
        <f t="shared" si="3"/>
        <v>116.2141543308704</v>
      </c>
      <c r="G40" s="839">
        <f>397.093+1004.125+965.734+1073.938+898.344+696.766+832.843+270.5+1238.328</f>
        <v>7377.6710000000003</v>
      </c>
      <c r="H40" s="4023"/>
      <c r="I40" s="822">
        <v>77195169</v>
      </c>
      <c r="J40" s="822">
        <v>426521556</v>
      </c>
      <c r="K40" s="822">
        <v>448763836</v>
      </c>
      <c r="L40" s="822">
        <v>289825962</v>
      </c>
      <c r="M40" s="822">
        <v>581593331</v>
      </c>
      <c r="N40" s="822">
        <v>481480893</v>
      </c>
      <c r="O40" s="822">
        <v>287923024</v>
      </c>
      <c r="P40" s="823">
        <v>32964064</v>
      </c>
      <c r="Q40" s="823">
        <v>177034166</v>
      </c>
      <c r="R40" s="824" t="s">
        <v>81</v>
      </c>
      <c r="S40" s="2723" t="s">
        <v>62</v>
      </c>
      <c r="T40" s="2631" t="s">
        <v>2435</v>
      </c>
      <c r="U40" s="2725">
        <v>8</v>
      </c>
      <c r="V40" s="825">
        <v>41624</v>
      </c>
      <c r="W40" s="826" t="s">
        <v>76</v>
      </c>
      <c r="X40" s="4275" t="s">
        <v>1248</v>
      </c>
      <c r="Y40" s="89">
        <f t="shared" ca="1" si="4"/>
        <v>4.0111111111111111</v>
      </c>
      <c r="Z40" s="79">
        <v>28</v>
      </c>
    </row>
    <row r="41" spans="1:26" ht="14.1" customHeight="1" x14ac:dyDescent="0.2">
      <c r="A41" s="79"/>
      <c r="B41" s="68" t="s">
        <v>1685</v>
      </c>
      <c r="C41" s="1416" t="s">
        <v>1260</v>
      </c>
      <c r="D41" s="1941" t="s">
        <v>40</v>
      </c>
      <c r="E41" s="1995" t="s">
        <v>2130</v>
      </c>
      <c r="F41" s="3782">
        <f t="shared" si="3"/>
        <v>118.31493324859743</v>
      </c>
      <c r="G41" s="4008">
        <f>528+1767+1594.5+1264.5+1604.2+1250.9+1394.5+304.3+1443.7</f>
        <v>11151.6</v>
      </c>
      <c r="H41" s="4042">
        <f>590.7+1973.4+1814.6+1387+1601.3+1305.9+1357.6+296.1+1620.7</f>
        <v>11947.300000000003</v>
      </c>
      <c r="I41" s="836">
        <v>82315624</v>
      </c>
      <c r="J41" s="836">
        <v>483211343</v>
      </c>
      <c r="K41" s="836">
        <v>466721795</v>
      </c>
      <c r="L41" s="836">
        <v>283643675</v>
      </c>
      <c r="M41" s="836">
        <v>574158259</v>
      </c>
      <c r="N41" s="836">
        <v>483441042</v>
      </c>
      <c r="O41" s="836">
        <v>298879799</v>
      </c>
      <c r="P41" s="837">
        <v>31224332</v>
      </c>
      <c r="Q41" s="837">
        <v>149353612</v>
      </c>
      <c r="R41" s="73" t="s">
        <v>1145</v>
      </c>
      <c r="S41" s="74" t="s">
        <v>66</v>
      </c>
      <c r="T41" s="2632" t="s">
        <v>2435</v>
      </c>
      <c r="U41" s="75">
        <v>1</v>
      </c>
      <c r="V41" s="76">
        <v>39864</v>
      </c>
      <c r="W41" s="77" t="s">
        <v>67</v>
      </c>
      <c r="X41" s="4279" t="s">
        <v>246</v>
      </c>
      <c r="Y41" s="78">
        <f t="shared" ca="1" si="4"/>
        <v>8.8333333333333339</v>
      </c>
      <c r="Z41" s="79"/>
    </row>
    <row r="42" spans="1:26" ht="14.1" customHeight="1" x14ac:dyDescent="0.2">
      <c r="A42" s="79">
        <v>30</v>
      </c>
      <c r="B42" s="3784" t="s">
        <v>1685</v>
      </c>
      <c r="C42" s="2149" t="s">
        <v>2134</v>
      </c>
      <c r="D42" s="1539"/>
      <c r="E42" s="1994"/>
      <c r="F42" s="3782">
        <f t="shared" si="3"/>
        <v>118.39627610298743</v>
      </c>
      <c r="G42" s="2150">
        <f>443.1+229.2+416.5+883.4+386.2+299.9+299.6+545.4+940.8</f>
        <v>4444.0999999999995</v>
      </c>
      <c r="H42" s="4446">
        <v>0</v>
      </c>
      <c r="I42" s="944">
        <v>84121705</v>
      </c>
      <c r="J42" s="808">
        <v>360488298</v>
      </c>
      <c r="K42" s="808">
        <v>484818589</v>
      </c>
      <c r="L42" s="808">
        <v>312475409</v>
      </c>
      <c r="M42" s="808">
        <v>574613752</v>
      </c>
      <c r="N42" s="808">
        <v>486077898</v>
      </c>
      <c r="O42" s="781">
        <v>281058602</v>
      </c>
      <c r="P42" s="2151">
        <v>37071470</v>
      </c>
      <c r="Q42" s="902">
        <v>194869716</v>
      </c>
      <c r="R42" s="2152" t="s">
        <v>242</v>
      </c>
      <c r="S42" s="3752" t="s">
        <v>62</v>
      </c>
      <c r="T42" s="2634" t="s">
        <v>2435</v>
      </c>
      <c r="U42" s="3235">
        <v>1</v>
      </c>
      <c r="V42" s="2153">
        <v>42601</v>
      </c>
      <c r="W42" s="2154" t="s">
        <v>98</v>
      </c>
      <c r="X42" s="4280" t="s">
        <v>730</v>
      </c>
      <c r="Y42" s="1447">
        <f t="shared" ca="1" si="4"/>
        <v>1.336111111111111</v>
      </c>
      <c r="Z42" s="79">
        <v>30</v>
      </c>
    </row>
    <row r="43" spans="1:26" ht="14.1" customHeight="1" x14ac:dyDescent="0.2">
      <c r="A43" s="79"/>
      <c r="B43" s="3783" t="s">
        <v>1685</v>
      </c>
      <c r="C43" s="3799" t="s">
        <v>1333</v>
      </c>
      <c r="D43" s="1941" t="s">
        <v>40</v>
      </c>
      <c r="E43" s="1995" t="s">
        <v>2130</v>
      </c>
      <c r="F43" s="3782">
        <f t="shared" si="3"/>
        <v>118.66616655927764</v>
      </c>
      <c r="G43" s="2417">
        <f>554.3+1795.4+1657.2+1304.4+1569.7+1328.9+1213.9+275.8+1371.3</f>
        <v>11070.899999999998</v>
      </c>
      <c r="H43" s="2418">
        <f>586.1+1732.3+1672.3+1358.7+1621.1+1341.7+1343.2+303.5+1522</f>
        <v>11480.900000000001</v>
      </c>
      <c r="I43" s="3221">
        <v>82483738</v>
      </c>
      <c r="J43" s="939">
        <v>504932570</v>
      </c>
      <c r="K43" s="939">
        <v>464634575</v>
      </c>
      <c r="L43" s="939">
        <v>278351488</v>
      </c>
      <c r="M43" s="939">
        <v>574136654</v>
      </c>
      <c r="N43" s="939">
        <v>481952693</v>
      </c>
      <c r="O43" s="843">
        <v>298708197</v>
      </c>
      <c r="P43" s="3850">
        <v>31143250</v>
      </c>
      <c r="Q43" s="939">
        <v>150172517</v>
      </c>
      <c r="R43" s="3854" t="s">
        <v>1144</v>
      </c>
      <c r="S43" s="4113" t="s">
        <v>66</v>
      </c>
      <c r="T43" s="2633" t="s">
        <v>2435</v>
      </c>
      <c r="U43" s="3884">
        <v>1</v>
      </c>
      <c r="V43" s="3889">
        <v>39386</v>
      </c>
      <c r="W43" s="3898" t="s">
        <v>67</v>
      </c>
      <c r="X43" s="4281" t="s">
        <v>1247</v>
      </c>
      <c r="Y43" s="814">
        <f t="shared" ca="1" si="4"/>
        <v>10.138888888888889</v>
      </c>
      <c r="Z43" s="79"/>
    </row>
    <row r="44" spans="1:26" ht="14.1" customHeight="1" x14ac:dyDescent="0.2">
      <c r="A44" s="79">
        <v>32</v>
      </c>
      <c r="B44" s="59" t="s">
        <v>1685</v>
      </c>
      <c r="C44" s="1216" t="s">
        <v>1829</v>
      </c>
      <c r="D44" s="1539" t="s">
        <v>40</v>
      </c>
      <c r="E44" s="1994" t="s">
        <v>2130</v>
      </c>
      <c r="F44" s="3782">
        <f t="shared" si="3"/>
        <v>118.920695538405</v>
      </c>
      <c r="G44" s="2751">
        <f>656.7+2453.69+2316.86+2022.2+2229+2006.7+1993.6+255.3+1768.3</f>
        <v>15702.35</v>
      </c>
      <c r="H44" s="2755">
        <f>686.4+2789.12+2638.2+1925.5+2284.9+2150.1+2029.5+271.8+1815.3</f>
        <v>16590.82</v>
      </c>
      <c r="I44" s="845">
        <v>79385282</v>
      </c>
      <c r="J44" s="936">
        <v>454055569</v>
      </c>
      <c r="K44" s="846">
        <v>457915837</v>
      </c>
      <c r="L44" s="846">
        <v>280356591</v>
      </c>
      <c r="M44" s="846">
        <v>574254311</v>
      </c>
      <c r="N44" s="846">
        <v>481186044</v>
      </c>
      <c r="O44" s="846">
        <v>294809748</v>
      </c>
      <c r="P44" s="4060">
        <v>31283840</v>
      </c>
      <c r="Q44" s="846">
        <v>159137846</v>
      </c>
      <c r="R44" s="3225" t="s">
        <v>79</v>
      </c>
      <c r="S44" s="3229" t="s">
        <v>66</v>
      </c>
      <c r="T44" s="2764" t="s">
        <v>2435</v>
      </c>
      <c r="U44" s="2767">
        <v>1</v>
      </c>
      <c r="V44" s="3239">
        <v>39447</v>
      </c>
      <c r="W44" s="3242" t="s">
        <v>76</v>
      </c>
      <c r="X44" s="4282" t="s">
        <v>1246</v>
      </c>
      <c r="Y44" s="1447">
        <f t="shared" ca="1" si="4"/>
        <v>9.9722222222222214</v>
      </c>
      <c r="Z44" s="79">
        <v>32</v>
      </c>
    </row>
    <row r="45" spans="1:26" ht="14.1" customHeight="1" x14ac:dyDescent="0.2">
      <c r="A45" s="79"/>
      <c r="B45" s="50" t="s">
        <v>1685</v>
      </c>
      <c r="C45" s="1213" t="s">
        <v>1183</v>
      </c>
      <c r="D45" s="1272" t="s">
        <v>40</v>
      </c>
      <c r="E45" s="1995" t="s">
        <v>2130</v>
      </c>
      <c r="F45" s="3782">
        <f t="shared" si="3"/>
        <v>119.19074249608023</v>
      </c>
      <c r="G45" s="805">
        <f>310.78+1063.22+0+712.36+956.45+792.32+780.16+157.16+761.24</f>
        <v>5533.6900000000005</v>
      </c>
      <c r="H45" s="2159">
        <f>332.31+0+0+813.2+1023.46+817.07+837.07+169.38+850.95</f>
        <v>4843.4400000000005</v>
      </c>
      <c r="I45" s="940">
        <v>84362230</v>
      </c>
      <c r="J45" s="781">
        <v>510874018</v>
      </c>
      <c r="K45" s="781">
        <v>468665303</v>
      </c>
      <c r="L45" s="781">
        <v>286575129</v>
      </c>
      <c r="M45" s="781">
        <v>578462992</v>
      </c>
      <c r="N45" s="781">
        <v>483475436</v>
      </c>
      <c r="O45" s="781">
        <v>303327118</v>
      </c>
      <c r="P45" s="3337">
        <v>32582554</v>
      </c>
      <c r="Q45" s="781">
        <v>164930949</v>
      </c>
      <c r="R45" s="809" t="s">
        <v>93</v>
      </c>
      <c r="S45" s="1444" t="s">
        <v>66</v>
      </c>
      <c r="T45" s="2632" t="s">
        <v>2435</v>
      </c>
      <c r="U45" s="811">
        <v>1</v>
      </c>
      <c r="V45" s="812">
        <v>39603</v>
      </c>
      <c r="W45" s="813" t="s">
        <v>73</v>
      </c>
      <c r="X45" s="4272" t="s">
        <v>2019</v>
      </c>
      <c r="Y45" s="814">
        <f t="shared" ca="1" si="4"/>
        <v>9.5444444444444443</v>
      </c>
      <c r="Z45" s="79"/>
    </row>
    <row r="46" spans="1:26" ht="14.1" customHeight="1" x14ac:dyDescent="0.2">
      <c r="A46" s="79">
        <v>34</v>
      </c>
      <c r="B46" s="69" t="s">
        <v>1685</v>
      </c>
      <c r="C46" s="1216" t="s">
        <v>1334</v>
      </c>
      <c r="D46" s="1943" t="s">
        <v>40</v>
      </c>
      <c r="E46" s="1994" t="s">
        <v>2130</v>
      </c>
      <c r="F46" s="3782">
        <f t="shared" si="3"/>
        <v>119.22863358211931</v>
      </c>
      <c r="G46" s="2751">
        <f>551+1737+1629+1288+1550+1308+1201+267+1334</f>
        <v>10865</v>
      </c>
      <c r="H46" s="2755">
        <f>581+1860+1763+1456+1678+1321+1298+302+1456</f>
        <v>11715</v>
      </c>
      <c r="I46" s="845">
        <v>83789117</v>
      </c>
      <c r="J46" s="846">
        <v>507404490</v>
      </c>
      <c r="K46" s="846">
        <v>461784004</v>
      </c>
      <c r="L46" s="846">
        <v>278771170</v>
      </c>
      <c r="M46" s="846">
        <v>574253251</v>
      </c>
      <c r="N46" s="846">
        <v>480992119</v>
      </c>
      <c r="O46" s="846">
        <v>296982199</v>
      </c>
      <c r="P46" s="846">
        <v>31636700</v>
      </c>
      <c r="Q46" s="846">
        <v>153118456</v>
      </c>
      <c r="R46" s="3225" t="s">
        <v>85</v>
      </c>
      <c r="S46" s="3229" t="s">
        <v>66</v>
      </c>
      <c r="T46" s="2764" t="s">
        <v>2435</v>
      </c>
      <c r="U46" s="2767">
        <v>1</v>
      </c>
      <c r="V46" s="3239">
        <v>39356</v>
      </c>
      <c r="W46" s="3242" t="s">
        <v>67</v>
      </c>
      <c r="X46" s="4282" t="s">
        <v>1229</v>
      </c>
      <c r="Y46" s="1447">
        <f t="shared" ca="1" si="4"/>
        <v>10.219444444444445</v>
      </c>
      <c r="Z46" s="79">
        <v>34</v>
      </c>
    </row>
    <row r="47" spans="1:26" ht="14.1" customHeight="1" x14ac:dyDescent="0.25">
      <c r="A47" s="79"/>
      <c r="B47" s="3933" t="s">
        <v>1103</v>
      </c>
      <c r="C47" s="3955" t="s">
        <v>1200</v>
      </c>
      <c r="D47" s="1418"/>
      <c r="E47" s="1995" t="s">
        <v>2130</v>
      </c>
      <c r="F47" s="3782">
        <f t="shared" si="3"/>
        <v>119.33087744456792</v>
      </c>
      <c r="G47" s="2417">
        <f>(778+271+2100+266+157+413+50+91+63)+243+371+233+374+195+166+381+99+240</f>
        <v>6491</v>
      </c>
      <c r="H47" s="4043"/>
      <c r="I47" s="853">
        <v>78762255</v>
      </c>
      <c r="J47" s="843">
        <v>441043625</v>
      </c>
      <c r="K47" s="843">
        <v>487151173</v>
      </c>
      <c r="L47" s="843">
        <v>267535706</v>
      </c>
      <c r="M47" s="843">
        <v>576683197</v>
      </c>
      <c r="N47" s="843">
        <v>460935592</v>
      </c>
      <c r="O47" s="843">
        <v>337122045</v>
      </c>
      <c r="P47" s="843">
        <v>35800534</v>
      </c>
      <c r="Q47" s="843">
        <v>180044575</v>
      </c>
      <c r="R47" s="3338" t="s">
        <v>80</v>
      </c>
      <c r="S47" s="3339" t="s">
        <v>66</v>
      </c>
      <c r="T47" s="3340" t="s">
        <v>2435</v>
      </c>
      <c r="U47" s="3341">
        <v>1</v>
      </c>
      <c r="V47" s="3890">
        <v>39815</v>
      </c>
      <c r="W47" s="3899" t="s">
        <v>71</v>
      </c>
      <c r="X47" s="4283" t="s">
        <v>1249</v>
      </c>
      <c r="Y47" s="814">
        <f t="shared" ca="1" si="4"/>
        <v>8.9666666666666668</v>
      </c>
      <c r="Z47" s="79"/>
    </row>
    <row r="48" spans="1:26" ht="14.1" customHeight="1" x14ac:dyDescent="0.2">
      <c r="A48" s="79">
        <v>36</v>
      </c>
      <c r="B48" s="3785" t="s">
        <v>1103</v>
      </c>
      <c r="C48" s="3562" t="s">
        <v>1820</v>
      </c>
      <c r="D48" s="3690" t="s">
        <v>40</v>
      </c>
      <c r="E48" s="3907"/>
      <c r="F48" s="3782">
        <f t="shared" si="3"/>
        <v>119.58763484985106</v>
      </c>
      <c r="G48" s="3701">
        <f>148+350+505+455+178+166+635+118+275</f>
        <v>2830</v>
      </c>
      <c r="H48" s="4024">
        <f>91+36+572+458+10+12+26+131+303</f>
        <v>1639</v>
      </c>
      <c r="I48" s="815">
        <v>79500816</v>
      </c>
      <c r="J48" s="781">
        <v>441035970</v>
      </c>
      <c r="K48" s="1842">
        <v>493043375</v>
      </c>
      <c r="L48" s="1842">
        <v>304617390</v>
      </c>
      <c r="M48" s="781">
        <v>577098703</v>
      </c>
      <c r="N48" s="781">
        <v>487440321</v>
      </c>
      <c r="O48" s="781">
        <v>322709493</v>
      </c>
      <c r="P48" s="841">
        <v>36126394</v>
      </c>
      <c r="Q48" s="1842">
        <v>179406622</v>
      </c>
      <c r="R48" s="3740" t="s">
        <v>80</v>
      </c>
      <c r="S48" s="3747" t="s">
        <v>62</v>
      </c>
      <c r="T48" s="3755" t="s">
        <v>2435</v>
      </c>
      <c r="U48" s="3762">
        <v>3</v>
      </c>
      <c r="V48" s="3769">
        <v>42007</v>
      </c>
      <c r="W48" s="3776" t="s">
        <v>71</v>
      </c>
      <c r="X48" s="4444" t="s">
        <v>1694</v>
      </c>
      <c r="Y48" s="3781">
        <f t="shared" ca="1" si="4"/>
        <v>2.963888888888889</v>
      </c>
      <c r="Z48" s="79">
        <v>36</v>
      </c>
    </row>
    <row r="49" spans="1:26" ht="14.1" customHeight="1" x14ac:dyDescent="0.2">
      <c r="A49" s="79"/>
      <c r="B49" s="3934" t="s">
        <v>1103</v>
      </c>
      <c r="C49" s="3956" t="s">
        <v>2805</v>
      </c>
      <c r="D49" s="3984" t="s">
        <v>40</v>
      </c>
      <c r="E49" s="1997"/>
      <c r="F49" s="3782">
        <f t="shared" si="3"/>
        <v>119.61351383964725</v>
      </c>
      <c r="G49" s="4009">
        <f>138+390+505+455+188+172+671+225+275</f>
        <v>3019</v>
      </c>
      <c r="H49" s="4044"/>
      <c r="I49" s="891">
        <v>79379134</v>
      </c>
      <c r="J49" s="890">
        <v>429887231</v>
      </c>
      <c r="K49" s="4055">
        <v>493043375</v>
      </c>
      <c r="L49" s="4055">
        <v>304617390</v>
      </c>
      <c r="M49" s="890">
        <v>577095176</v>
      </c>
      <c r="N49" s="890">
        <v>487465775</v>
      </c>
      <c r="O49" s="864">
        <v>325808955</v>
      </c>
      <c r="P49" s="3851">
        <v>36040119</v>
      </c>
      <c r="Q49" s="4055">
        <v>179406622</v>
      </c>
      <c r="R49" s="4435" t="s">
        <v>80</v>
      </c>
      <c r="S49" s="4436" t="s">
        <v>62</v>
      </c>
      <c r="T49" s="4134" t="s">
        <v>2435</v>
      </c>
      <c r="U49" s="4437">
        <v>3</v>
      </c>
      <c r="V49" s="4438">
        <v>42975</v>
      </c>
      <c r="W49" s="4439" t="s">
        <v>71</v>
      </c>
      <c r="X49" s="4440" t="s">
        <v>1694</v>
      </c>
      <c r="Y49" s="4441">
        <f t="shared" ca="1" si="4"/>
        <v>0.31111111111111112</v>
      </c>
      <c r="Z49" s="79"/>
    </row>
    <row r="50" spans="1:26" ht="14.1" customHeight="1" x14ac:dyDescent="0.2">
      <c r="A50" s="79">
        <v>38</v>
      </c>
      <c r="B50" s="103" t="s">
        <v>1685</v>
      </c>
      <c r="C50" s="1229" t="s">
        <v>2203</v>
      </c>
      <c r="D50" s="1273" t="s">
        <v>40</v>
      </c>
      <c r="E50" s="1998" t="s">
        <v>2130</v>
      </c>
      <c r="F50" s="3782">
        <f t="shared" si="3"/>
        <v>119.82070780805381</v>
      </c>
      <c r="G50" s="3708">
        <f>438.5+987.9+931.7+1050.5+1156.4+1049.4+1193.8+232.4+1415.2</f>
        <v>8455.7999999999993</v>
      </c>
      <c r="H50" s="3721"/>
      <c r="I50" s="802">
        <v>84179726</v>
      </c>
      <c r="J50" s="975">
        <v>473432412</v>
      </c>
      <c r="K50" s="975">
        <v>462450295</v>
      </c>
      <c r="L50" s="975">
        <v>291544773</v>
      </c>
      <c r="M50" s="975">
        <v>579019843</v>
      </c>
      <c r="N50" s="975">
        <v>483857831</v>
      </c>
      <c r="O50" s="868">
        <v>295031539</v>
      </c>
      <c r="P50" s="3222">
        <v>32862855</v>
      </c>
      <c r="Q50" s="3621">
        <v>174635480</v>
      </c>
      <c r="R50" s="2832" t="s">
        <v>1228</v>
      </c>
      <c r="S50" s="3750" t="s">
        <v>66</v>
      </c>
      <c r="T50" s="2738" t="s">
        <v>2435</v>
      </c>
      <c r="U50" s="2838">
        <v>1</v>
      </c>
      <c r="V50" s="2842">
        <v>42381</v>
      </c>
      <c r="W50" s="2844" t="s">
        <v>2211</v>
      </c>
      <c r="X50" s="4287" t="s">
        <v>246</v>
      </c>
      <c r="Y50" s="871">
        <f t="shared" ca="1" si="4"/>
        <v>1.9388888888888889</v>
      </c>
      <c r="Z50" s="79">
        <v>38</v>
      </c>
    </row>
    <row r="51" spans="1:26" ht="14.1" customHeight="1" x14ac:dyDescent="0.2">
      <c r="A51" s="79"/>
      <c r="B51" s="98" t="s">
        <v>1685</v>
      </c>
      <c r="C51" s="1217" t="s">
        <v>1849</v>
      </c>
      <c r="D51" s="1269"/>
      <c r="E51" s="1999"/>
      <c r="F51" s="3782">
        <f t="shared" si="3"/>
        <v>119.89444820633081</v>
      </c>
      <c r="G51" s="1840">
        <f>122.929+176.177+205.362+248.774+158.848+129.999+199.002+242.339+262.416</f>
        <v>1745.8459999999998</v>
      </c>
      <c r="H51" s="1841"/>
      <c r="I51" s="807">
        <v>94651975</v>
      </c>
      <c r="J51" s="808">
        <v>400606351</v>
      </c>
      <c r="K51" s="808">
        <v>465919810</v>
      </c>
      <c r="L51" s="808">
        <v>306984877</v>
      </c>
      <c r="M51" s="808">
        <v>578879059</v>
      </c>
      <c r="N51" s="808">
        <v>483774152</v>
      </c>
      <c r="O51" s="781">
        <v>289985205</v>
      </c>
      <c r="P51" s="2420">
        <v>42923147</v>
      </c>
      <c r="Q51" s="902">
        <v>165537369</v>
      </c>
      <c r="R51" s="877" t="s">
        <v>128</v>
      </c>
      <c r="S51" s="2703" t="s">
        <v>62</v>
      </c>
      <c r="T51" s="2644" t="s">
        <v>2435</v>
      </c>
      <c r="U51" s="879">
        <v>1</v>
      </c>
      <c r="V51" s="880">
        <v>42161</v>
      </c>
      <c r="W51" s="881" t="s">
        <v>98</v>
      </c>
      <c r="X51" s="4285" t="s">
        <v>92</v>
      </c>
      <c r="Y51" s="857"/>
      <c r="Z51" s="79"/>
    </row>
    <row r="52" spans="1:26" ht="14.1" customHeight="1" x14ac:dyDescent="0.25">
      <c r="A52" s="79">
        <v>40</v>
      </c>
      <c r="B52" s="98" t="s">
        <v>1685</v>
      </c>
      <c r="C52" s="3943" t="s">
        <v>1252</v>
      </c>
      <c r="D52" s="1693"/>
      <c r="E52" s="1998" t="s">
        <v>2130</v>
      </c>
      <c r="F52" s="3782">
        <f t="shared" si="3"/>
        <v>120.19623251602721</v>
      </c>
      <c r="G52" s="858">
        <f>393+1069+0+877+919+755+836+220+1215</f>
        <v>6284</v>
      </c>
      <c r="H52" s="100"/>
      <c r="I52" s="815">
        <v>85276158</v>
      </c>
      <c r="J52" s="781">
        <v>510306657</v>
      </c>
      <c r="K52" s="781">
        <v>468307527</v>
      </c>
      <c r="L52" s="781">
        <v>287061074</v>
      </c>
      <c r="M52" s="781">
        <v>578113802</v>
      </c>
      <c r="N52" s="781">
        <v>483390665</v>
      </c>
      <c r="O52" s="781">
        <v>303742288</v>
      </c>
      <c r="P52" s="841">
        <v>32915199</v>
      </c>
      <c r="Q52" s="781">
        <v>168718324</v>
      </c>
      <c r="R52" s="873" t="s">
        <v>88</v>
      </c>
      <c r="S52" s="874" t="s">
        <v>66</v>
      </c>
      <c r="T52" s="2638" t="s">
        <v>2435</v>
      </c>
      <c r="U52" s="860">
        <v>1</v>
      </c>
      <c r="V52" s="875">
        <v>39817</v>
      </c>
      <c r="W52" s="862" t="s">
        <v>89</v>
      </c>
      <c r="X52" s="4288" t="s">
        <v>2019</v>
      </c>
      <c r="Y52" s="857">
        <f t="shared" ref="Y52:Y115" ca="1" si="7">YEARFRAC(V52,Y$6)</f>
        <v>8.9611111111111104</v>
      </c>
      <c r="Z52" s="79">
        <v>40</v>
      </c>
    </row>
    <row r="53" spans="1:26" ht="14.1" customHeight="1" x14ac:dyDescent="0.25">
      <c r="A53" s="79"/>
      <c r="B53" s="3672" t="s">
        <v>1103</v>
      </c>
      <c r="C53" s="3679" t="s">
        <v>1261</v>
      </c>
      <c r="D53" s="3691"/>
      <c r="E53" s="1993"/>
      <c r="F53" s="3906">
        <f t="shared" si="3"/>
        <v>120.28840109894678</v>
      </c>
      <c r="G53" s="3699">
        <f>477.2+1416+1369.8+975.7+1140.5+887.5+891.5+164.2+836.7</f>
        <v>8159.0999999999995</v>
      </c>
      <c r="H53" s="3717"/>
      <c r="I53" s="3726">
        <v>80232277</v>
      </c>
      <c r="J53" s="2419">
        <v>395293930</v>
      </c>
      <c r="K53" s="2419">
        <v>477253880</v>
      </c>
      <c r="L53" s="2419">
        <v>301703146</v>
      </c>
      <c r="M53" s="864">
        <v>576204183</v>
      </c>
      <c r="N53" s="2419">
        <v>485825646</v>
      </c>
      <c r="O53" s="2419">
        <v>292075855</v>
      </c>
      <c r="P53" s="3733">
        <v>35198987</v>
      </c>
      <c r="Q53" s="2419">
        <v>203974516</v>
      </c>
      <c r="R53" s="3739" t="s">
        <v>82</v>
      </c>
      <c r="S53" s="3746" t="s">
        <v>66</v>
      </c>
      <c r="T53" s="3756" t="s">
        <v>2435</v>
      </c>
      <c r="U53" s="3761">
        <v>1</v>
      </c>
      <c r="V53" s="3768">
        <v>38389</v>
      </c>
      <c r="W53" s="3775" t="s">
        <v>73</v>
      </c>
      <c r="X53" s="4286" t="s">
        <v>673</v>
      </c>
      <c r="Y53" s="2775">
        <f t="shared" ca="1" si="7"/>
        <v>12.872222222222222</v>
      </c>
      <c r="Z53" s="79"/>
    </row>
    <row r="54" spans="1:26" ht="14.1" customHeight="1" x14ac:dyDescent="0.2">
      <c r="A54" s="79">
        <v>42</v>
      </c>
      <c r="B54" s="876" t="s">
        <v>1685</v>
      </c>
      <c r="C54" s="1220" t="s">
        <v>1850</v>
      </c>
      <c r="D54" s="1273"/>
      <c r="E54" s="1998"/>
      <c r="F54" s="3782">
        <f t="shared" si="3"/>
        <v>120.50402003191978</v>
      </c>
      <c r="G54" s="3708">
        <f>204.7+78.1+376+487.7+308.2+262.6+230.3+445.4+902.4</f>
        <v>3295.4</v>
      </c>
      <c r="H54" s="3723"/>
      <c r="I54" s="802">
        <v>84169777</v>
      </c>
      <c r="J54" s="975">
        <v>408497885</v>
      </c>
      <c r="K54" s="975">
        <v>480645014</v>
      </c>
      <c r="L54" s="975">
        <v>307814708</v>
      </c>
      <c r="M54" s="975">
        <v>575919246</v>
      </c>
      <c r="N54" s="975">
        <v>485575078</v>
      </c>
      <c r="O54" s="868">
        <v>283982876</v>
      </c>
      <c r="P54" s="975">
        <v>38063205</v>
      </c>
      <c r="Q54" s="3621">
        <v>204700171</v>
      </c>
      <c r="R54" s="2832" t="s">
        <v>242</v>
      </c>
      <c r="S54" s="4095" t="s">
        <v>62</v>
      </c>
      <c r="T54" s="2738" t="s">
        <v>2435</v>
      </c>
      <c r="U54" s="2838">
        <v>1</v>
      </c>
      <c r="V54" s="2842">
        <v>42205</v>
      </c>
      <c r="W54" s="2844" t="s">
        <v>98</v>
      </c>
      <c r="X54" s="4287" t="s">
        <v>1543</v>
      </c>
      <c r="Y54" s="871">
        <f t="shared" ca="1" si="7"/>
        <v>2.4166666666666665</v>
      </c>
      <c r="Z54" s="79">
        <v>42</v>
      </c>
    </row>
    <row r="55" spans="1:26" ht="14.1" customHeight="1" x14ac:dyDescent="0.25">
      <c r="A55" s="79"/>
      <c r="B55" s="114" t="s">
        <v>1685</v>
      </c>
      <c r="C55" s="3957" t="s">
        <v>1095</v>
      </c>
      <c r="D55" s="1270"/>
      <c r="E55" s="1999"/>
      <c r="F55" s="3782">
        <f t="shared" si="3"/>
        <v>120.52982350928059</v>
      </c>
      <c r="G55" s="858">
        <f>105.5+147.9+359.3+227.41+286.89+259.31+273.17+49.17+541.56</f>
        <v>2250.21</v>
      </c>
      <c r="H55" s="2754"/>
      <c r="I55" s="815">
        <v>97303748</v>
      </c>
      <c r="J55" s="781">
        <v>352299035</v>
      </c>
      <c r="K55" s="781">
        <v>473450475</v>
      </c>
      <c r="L55" s="781">
        <v>304275096</v>
      </c>
      <c r="M55" s="781">
        <v>582698288</v>
      </c>
      <c r="N55" s="781">
        <v>485944367</v>
      </c>
      <c r="O55" s="781">
        <v>304403688</v>
      </c>
      <c r="P55" s="781">
        <v>38774613</v>
      </c>
      <c r="Q55" s="781">
        <v>194610863</v>
      </c>
      <c r="R55" s="859" t="s">
        <v>91</v>
      </c>
      <c r="S55" s="2702" t="s">
        <v>62</v>
      </c>
      <c r="T55" s="2638" t="s">
        <v>2435</v>
      </c>
      <c r="U55" s="860">
        <v>1</v>
      </c>
      <c r="V55" s="861">
        <v>39518</v>
      </c>
      <c r="W55" s="862" t="s">
        <v>69</v>
      </c>
      <c r="X55" s="4288" t="s">
        <v>92</v>
      </c>
      <c r="Y55" s="857">
        <f t="shared" ca="1" si="7"/>
        <v>9.7750000000000004</v>
      </c>
      <c r="Z55" s="79"/>
    </row>
    <row r="56" spans="1:26" ht="14.1" customHeight="1" x14ac:dyDescent="0.2">
      <c r="A56" s="79">
        <v>44</v>
      </c>
      <c r="B56" s="98" t="s">
        <v>1685</v>
      </c>
      <c r="C56" s="1217" t="s">
        <v>1251</v>
      </c>
      <c r="D56" s="1269" t="s">
        <v>40</v>
      </c>
      <c r="E56" s="1998" t="s">
        <v>2130</v>
      </c>
      <c r="F56" s="3782">
        <f t="shared" si="3"/>
        <v>120.85552505721772</v>
      </c>
      <c r="G56" s="858">
        <f>569+1672+1745+1287+1551+1329+1263+297+1619</f>
        <v>11332</v>
      </c>
      <c r="H56" s="105">
        <f>617+1817+1904+1377+1730+1420+1316+329+1585</f>
        <v>12095</v>
      </c>
      <c r="I56" s="815">
        <v>84488523</v>
      </c>
      <c r="J56" s="781">
        <v>516330193</v>
      </c>
      <c r="K56" s="781">
        <v>467019940</v>
      </c>
      <c r="L56" s="781">
        <v>281496506</v>
      </c>
      <c r="M56" s="781">
        <v>574106066</v>
      </c>
      <c r="N56" s="781">
        <v>481430206</v>
      </c>
      <c r="O56" s="781">
        <v>304463339</v>
      </c>
      <c r="P56" s="781">
        <v>31930129</v>
      </c>
      <c r="Q56" s="781">
        <v>157883859</v>
      </c>
      <c r="R56" s="873" t="s">
        <v>90</v>
      </c>
      <c r="S56" s="874" t="s">
        <v>66</v>
      </c>
      <c r="T56" s="2638" t="s">
        <v>2435</v>
      </c>
      <c r="U56" s="860">
        <v>1</v>
      </c>
      <c r="V56" s="875">
        <v>39287</v>
      </c>
      <c r="W56" s="862" t="s">
        <v>76</v>
      </c>
      <c r="X56" s="4288" t="s">
        <v>246</v>
      </c>
      <c r="Y56" s="857">
        <f t="shared" ca="1" si="7"/>
        <v>10.405555555555555</v>
      </c>
      <c r="Z56" s="79">
        <v>44</v>
      </c>
    </row>
    <row r="57" spans="1:26" ht="14.1" customHeight="1" x14ac:dyDescent="0.2">
      <c r="A57" s="79"/>
      <c r="B57" s="114" t="s">
        <v>1685</v>
      </c>
      <c r="C57" s="3958" t="s">
        <v>2205</v>
      </c>
      <c r="D57" s="1944" t="s">
        <v>40</v>
      </c>
      <c r="E57" s="1999" t="s">
        <v>2130</v>
      </c>
      <c r="F57" s="3782">
        <f t="shared" si="3"/>
        <v>120.96515956252674</v>
      </c>
      <c r="G57" s="3700">
        <f>1225+2286+2306+2679+2478+2072+2433+758+3696</f>
        <v>19933</v>
      </c>
      <c r="H57" s="3716"/>
      <c r="I57" s="882">
        <v>78906065</v>
      </c>
      <c r="J57" s="883">
        <v>451394450</v>
      </c>
      <c r="K57" s="883">
        <v>458817126</v>
      </c>
      <c r="L57" s="883">
        <v>288474516</v>
      </c>
      <c r="M57" s="883">
        <v>576488437</v>
      </c>
      <c r="N57" s="883">
        <v>481671721</v>
      </c>
      <c r="O57" s="883">
        <v>291703582</v>
      </c>
      <c r="P57" s="883">
        <v>31314571</v>
      </c>
      <c r="Q57" s="883">
        <v>164118727</v>
      </c>
      <c r="R57" s="3855" t="s">
        <v>1228</v>
      </c>
      <c r="S57" s="2597" t="s">
        <v>66</v>
      </c>
      <c r="T57" s="2659" t="s">
        <v>2435</v>
      </c>
      <c r="U57" s="117">
        <v>1</v>
      </c>
      <c r="V57" s="3652">
        <v>41461</v>
      </c>
      <c r="W57" s="4442" t="s">
        <v>1155</v>
      </c>
      <c r="X57" s="4443" t="s">
        <v>246</v>
      </c>
      <c r="Y57" s="119">
        <f t="shared" ca="1" si="7"/>
        <v>4.4555555555555557</v>
      </c>
      <c r="Z57" s="79"/>
    </row>
    <row r="58" spans="1:26" ht="14.1" customHeight="1" x14ac:dyDescent="0.2">
      <c r="A58" s="79">
        <v>46</v>
      </c>
      <c r="B58" s="103" t="s">
        <v>1685</v>
      </c>
      <c r="C58" s="3590" t="s">
        <v>2204</v>
      </c>
      <c r="D58" s="1273" t="s">
        <v>40</v>
      </c>
      <c r="E58" s="1998" t="s">
        <v>2130</v>
      </c>
      <c r="F58" s="3782">
        <f t="shared" si="3"/>
        <v>120.96530950542966</v>
      </c>
      <c r="G58" s="3909">
        <f>234.15+513.93+449.94+557.02+428.53+355.71+545.47+136.08+726.3</f>
        <v>3947.13</v>
      </c>
      <c r="H58" s="3843"/>
      <c r="I58" s="822">
        <v>90970960</v>
      </c>
      <c r="J58" s="886">
        <v>522955272</v>
      </c>
      <c r="K58" s="886">
        <v>475340089</v>
      </c>
      <c r="L58" s="886">
        <v>272133582</v>
      </c>
      <c r="M58" s="886">
        <v>577858048</v>
      </c>
      <c r="N58" s="886">
        <v>459121106</v>
      </c>
      <c r="O58" s="886">
        <v>318791327</v>
      </c>
      <c r="P58" s="886">
        <v>33876178</v>
      </c>
      <c r="Q58" s="886">
        <v>174391732</v>
      </c>
      <c r="R58" s="4070" t="s">
        <v>1228</v>
      </c>
      <c r="S58" s="914" t="s">
        <v>66</v>
      </c>
      <c r="T58" s="2639" t="s">
        <v>2435</v>
      </c>
      <c r="U58" s="122">
        <v>1</v>
      </c>
      <c r="V58" s="3892">
        <v>41503</v>
      </c>
      <c r="W58" s="4200" t="s">
        <v>1155</v>
      </c>
      <c r="X58" s="4289" t="s">
        <v>246</v>
      </c>
      <c r="Y58" s="104">
        <f t="shared" ca="1" si="7"/>
        <v>4.3416666666666668</v>
      </c>
      <c r="Z58" s="79">
        <v>46</v>
      </c>
    </row>
    <row r="59" spans="1:26" ht="14.1" customHeight="1" x14ac:dyDescent="0.2">
      <c r="A59" s="79"/>
      <c r="B59" s="908" t="s">
        <v>1685</v>
      </c>
      <c r="C59" s="1231" t="s">
        <v>1865</v>
      </c>
      <c r="D59" s="1269" t="s">
        <v>40</v>
      </c>
      <c r="E59" s="1999"/>
      <c r="F59" s="3782">
        <f t="shared" si="3"/>
        <v>121.11478481294479</v>
      </c>
      <c r="G59" s="1840">
        <f>61.2+69.3+107.9+286.1+74.1+109.1+86.4+69.3+107.3</f>
        <v>970.69999999999993</v>
      </c>
      <c r="H59" s="1841"/>
      <c r="I59" s="807">
        <v>81284737</v>
      </c>
      <c r="J59" s="808">
        <v>541499208</v>
      </c>
      <c r="K59" s="808">
        <v>500927702</v>
      </c>
      <c r="L59" s="808">
        <v>265583853</v>
      </c>
      <c r="M59" s="808">
        <v>581033256</v>
      </c>
      <c r="N59" s="808">
        <v>471724887</v>
      </c>
      <c r="O59" s="781">
        <v>316530910</v>
      </c>
      <c r="P59" s="808">
        <v>36971719</v>
      </c>
      <c r="Q59" s="902">
        <v>181000873</v>
      </c>
      <c r="R59" s="877" t="s">
        <v>1589</v>
      </c>
      <c r="S59" s="2703" t="s">
        <v>1866</v>
      </c>
      <c r="T59" s="2644" t="s">
        <v>2435</v>
      </c>
      <c r="U59" s="2710">
        <v>8</v>
      </c>
      <c r="V59" s="880">
        <v>42270</v>
      </c>
      <c r="W59" s="881" t="s">
        <v>440</v>
      </c>
      <c r="X59" s="4285" t="s">
        <v>2774</v>
      </c>
      <c r="Y59" s="857">
        <f t="shared" ca="1" si="7"/>
        <v>2.2416666666666667</v>
      </c>
      <c r="Z59" s="79"/>
    </row>
    <row r="60" spans="1:26" ht="14.1" customHeight="1" x14ac:dyDescent="0.2">
      <c r="A60" s="79">
        <v>48</v>
      </c>
      <c r="B60" s="844" t="s">
        <v>1685</v>
      </c>
      <c r="C60" s="3800" t="s">
        <v>2202</v>
      </c>
      <c r="D60" s="1269" t="s">
        <v>40</v>
      </c>
      <c r="E60" s="1998" t="s">
        <v>2130</v>
      </c>
      <c r="F60" s="3782">
        <f t="shared" si="3"/>
        <v>121.15537196276298</v>
      </c>
      <c r="G60" s="858">
        <f>235.49+496.39+440.14+498.36+368.93+298.43+513.24+127.37+686.97</f>
        <v>3665.3200000000006</v>
      </c>
      <c r="H60" s="105"/>
      <c r="I60" s="815">
        <v>89309602</v>
      </c>
      <c r="J60" s="781">
        <v>516077838</v>
      </c>
      <c r="K60" s="781">
        <v>474196801</v>
      </c>
      <c r="L60" s="781">
        <v>290752195</v>
      </c>
      <c r="M60" s="781">
        <v>577801308</v>
      </c>
      <c r="N60" s="781">
        <v>484812825</v>
      </c>
      <c r="O60" s="781">
        <v>312002309</v>
      </c>
      <c r="P60" s="781">
        <v>33346539</v>
      </c>
      <c r="Q60" s="781">
        <v>172846758</v>
      </c>
      <c r="R60" s="859" t="s">
        <v>1228</v>
      </c>
      <c r="S60" s="935" t="s">
        <v>66</v>
      </c>
      <c r="T60" s="2638" t="s">
        <v>2435</v>
      </c>
      <c r="U60" s="860">
        <v>1</v>
      </c>
      <c r="V60" s="861">
        <v>41477</v>
      </c>
      <c r="W60" s="1507" t="s">
        <v>1155</v>
      </c>
      <c r="X60" s="4290" t="s">
        <v>246</v>
      </c>
      <c r="Y60" s="857">
        <f t="shared" ca="1" si="7"/>
        <v>4.4111111111111114</v>
      </c>
      <c r="Z60" s="79">
        <v>48</v>
      </c>
    </row>
    <row r="61" spans="1:26" ht="14.1" customHeight="1" x14ac:dyDescent="0.25">
      <c r="A61" s="79"/>
      <c r="B61" s="791" t="s">
        <v>1103</v>
      </c>
      <c r="C61" s="3959" t="s">
        <v>1675</v>
      </c>
      <c r="D61" s="3691"/>
      <c r="E61" s="1993"/>
      <c r="F61" s="3906">
        <f t="shared" si="3"/>
        <v>121.57023998337776</v>
      </c>
      <c r="G61" s="3699">
        <f>322.4+965+807.2+627.2+763.3+616.5+708.5+151+628.5</f>
        <v>5589.6</v>
      </c>
      <c r="H61" s="3715"/>
      <c r="I61" s="3725">
        <v>83847245</v>
      </c>
      <c r="J61" s="890">
        <v>397613629</v>
      </c>
      <c r="K61" s="890">
        <v>478646282</v>
      </c>
      <c r="L61" s="890">
        <v>304729847</v>
      </c>
      <c r="M61" s="864">
        <v>582549377</v>
      </c>
      <c r="N61" s="864">
        <v>485987428</v>
      </c>
      <c r="O61" s="3732">
        <v>293432096</v>
      </c>
      <c r="P61" s="3732">
        <v>36934509</v>
      </c>
      <c r="Q61" s="3732">
        <v>212232106</v>
      </c>
      <c r="R61" s="3739" t="s">
        <v>82</v>
      </c>
      <c r="S61" s="3746" t="s">
        <v>66</v>
      </c>
      <c r="T61" s="3753" t="s">
        <v>2435</v>
      </c>
      <c r="U61" s="3761">
        <v>1</v>
      </c>
      <c r="V61" s="3768">
        <v>37253</v>
      </c>
      <c r="W61" s="3775" t="s">
        <v>73</v>
      </c>
      <c r="X61" s="4286" t="s">
        <v>2773</v>
      </c>
      <c r="Y61" s="2775">
        <f t="shared" ca="1" si="7"/>
        <v>15.977777777777778</v>
      </c>
      <c r="Z61" s="79"/>
    </row>
    <row r="62" spans="1:26" ht="14.1" customHeight="1" x14ac:dyDescent="0.25">
      <c r="A62" s="79">
        <v>50</v>
      </c>
      <c r="B62" s="2743" t="s">
        <v>1103</v>
      </c>
      <c r="C62" s="1220" t="s">
        <v>2588</v>
      </c>
      <c r="D62" s="1845"/>
      <c r="E62" s="1998"/>
      <c r="F62" s="3782">
        <f t="shared" si="3"/>
        <v>121.69230221990422</v>
      </c>
      <c r="G62" s="867">
        <f>79.2+43.8+349.7+261.5+349.2+285.6+43.2+34.9+219.9</f>
        <v>1667.0000000000002</v>
      </c>
      <c r="H62" s="4025"/>
      <c r="I62" s="822">
        <v>88961837</v>
      </c>
      <c r="J62" s="868">
        <v>384619601</v>
      </c>
      <c r="K62" s="868">
        <v>496852845</v>
      </c>
      <c r="L62" s="868">
        <v>319261810</v>
      </c>
      <c r="M62" s="868">
        <v>578923326</v>
      </c>
      <c r="N62" s="868">
        <v>486803989</v>
      </c>
      <c r="O62" s="868">
        <v>288721818</v>
      </c>
      <c r="P62" s="868">
        <v>38740607</v>
      </c>
      <c r="Q62" s="868">
        <v>210064678</v>
      </c>
      <c r="R62" s="2104" t="s">
        <v>108</v>
      </c>
      <c r="S62" s="1695" t="s">
        <v>66</v>
      </c>
      <c r="T62" s="2639" t="s">
        <v>2435</v>
      </c>
      <c r="U62" s="2106">
        <v>1</v>
      </c>
      <c r="V62" s="1492">
        <v>41491</v>
      </c>
      <c r="W62" s="870" t="s">
        <v>98</v>
      </c>
      <c r="X62" s="4291" t="s">
        <v>724</v>
      </c>
      <c r="Y62" s="871">
        <f t="shared" ca="1" si="7"/>
        <v>4.375</v>
      </c>
      <c r="Z62" s="79">
        <v>50</v>
      </c>
    </row>
    <row r="63" spans="1:26" ht="14.1" customHeight="1" x14ac:dyDescent="0.2">
      <c r="A63" s="79"/>
      <c r="B63" s="964" t="s">
        <v>1103</v>
      </c>
      <c r="C63" s="3960" t="s">
        <v>2589</v>
      </c>
      <c r="D63" s="1269"/>
      <c r="E63" s="1999"/>
      <c r="F63" s="3782">
        <f t="shared" si="3"/>
        <v>121.72508358723952</v>
      </c>
      <c r="G63" s="1840">
        <f>94+15+67+321+409+355+49+42+345</f>
        <v>1697</v>
      </c>
      <c r="H63" s="4045"/>
      <c r="I63" s="815">
        <v>88961837</v>
      </c>
      <c r="J63" s="808">
        <v>384633518</v>
      </c>
      <c r="K63" s="781">
        <v>497660006</v>
      </c>
      <c r="L63" s="781">
        <v>319268847</v>
      </c>
      <c r="M63" s="781">
        <v>578923326</v>
      </c>
      <c r="N63" s="781">
        <v>486803989</v>
      </c>
      <c r="O63" s="781">
        <v>288721818</v>
      </c>
      <c r="P63" s="781">
        <v>38740447</v>
      </c>
      <c r="Q63" s="3853">
        <v>210064678</v>
      </c>
      <c r="R63" s="877" t="s">
        <v>108</v>
      </c>
      <c r="S63" s="878" t="s">
        <v>66</v>
      </c>
      <c r="T63" s="2644" t="s">
        <v>2435</v>
      </c>
      <c r="U63" s="879">
        <v>1</v>
      </c>
      <c r="V63" s="880">
        <v>41246</v>
      </c>
      <c r="W63" s="881" t="s">
        <v>98</v>
      </c>
      <c r="X63" s="4285" t="s">
        <v>724</v>
      </c>
      <c r="Y63" s="857">
        <f t="shared" ca="1" si="7"/>
        <v>5.0472222222222225</v>
      </c>
      <c r="Z63" s="79"/>
    </row>
    <row r="64" spans="1:26" ht="14.1" customHeight="1" x14ac:dyDescent="0.2">
      <c r="A64" s="79">
        <v>52</v>
      </c>
      <c r="B64" s="844" t="s">
        <v>1685</v>
      </c>
      <c r="C64" s="2156" t="s">
        <v>2247</v>
      </c>
      <c r="D64" s="1417"/>
      <c r="E64" s="1998"/>
      <c r="F64" s="3782">
        <f t="shared" si="3"/>
        <v>121.87939431762364</v>
      </c>
      <c r="G64" s="1840">
        <f>1503+5801+298+818+359+418+994+362+1701</f>
        <v>12254</v>
      </c>
      <c r="H64" s="1841"/>
      <c r="I64" s="807">
        <v>79157936</v>
      </c>
      <c r="J64" s="808">
        <v>336453399</v>
      </c>
      <c r="K64" s="808">
        <v>498911675</v>
      </c>
      <c r="L64" s="808">
        <v>308950030</v>
      </c>
      <c r="M64" s="808">
        <v>568159664</v>
      </c>
      <c r="N64" s="808">
        <v>466309927</v>
      </c>
      <c r="O64" s="781">
        <v>362708737</v>
      </c>
      <c r="P64" s="808">
        <v>35123891</v>
      </c>
      <c r="Q64" s="902">
        <v>190596205</v>
      </c>
      <c r="R64" s="877" t="s">
        <v>2242</v>
      </c>
      <c r="S64" s="2275" t="s">
        <v>66</v>
      </c>
      <c r="T64" s="2644" t="s">
        <v>2435</v>
      </c>
      <c r="U64" s="2710">
        <v>2</v>
      </c>
      <c r="V64" s="880">
        <v>42595</v>
      </c>
      <c r="W64" s="2930" t="s">
        <v>2244</v>
      </c>
      <c r="X64" s="881" t="s">
        <v>2776</v>
      </c>
      <c r="Y64" s="857">
        <f t="shared" ca="1" si="7"/>
        <v>1.3527777777777779</v>
      </c>
      <c r="Z64" s="79">
        <v>52</v>
      </c>
    </row>
    <row r="65" spans="1:26" ht="14.1" customHeight="1" x14ac:dyDescent="0.2">
      <c r="A65" s="79"/>
      <c r="B65" s="3787" t="s">
        <v>1103</v>
      </c>
      <c r="C65" s="4924" t="s">
        <v>1805</v>
      </c>
      <c r="D65" s="1269" t="s">
        <v>40</v>
      </c>
      <c r="E65" s="1999"/>
      <c r="F65" s="3782">
        <f t="shared" si="3"/>
        <v>122.08570976920285</v>
      </c>
      <c r="G65" s="2339">
        <f>148+350+210+621+178+166+635+118+791</f>
        <v>3217</v>
      </c>
      <c r="H65" s="2341"/>
      <c r="I65" s="891">
        <v>79500816</v>
      </c>
      <c r="J65" s="890">
        <v>441035970</v>
      </c>
      <c r="K65" s="890">
        <v>498111402</v>
      </c>
      <c r="L65" s="890">
        <v>318117697</v>
      </c>
      <c r="M65" s="890">
        <v>577098703</v>
      </c>
      <c r="N65" s="890">
        <v>487440321</v>
      </c>
      <c r="O65" s="864">
        <v>322709493</v>
      </c>
      <c r="P65" s="890">
        <v>36126394</v>
      </c>
      <c r="Q65" s="1844">
        <v>197414870</v>
      </c>
      <c r="R65" s="2342" t="s">
        <v>80</v>
      </c>
      <c r="S65" s="3865" t="s">
        <v>62</v>
      </c>
      <c r="T65" s="2637" t="s">
        <v>2435</v>
      </c>
      <c r="U65" s="2721">
        <v>3</v>
      </c>
      <c r="V65" s="2343">
        <v>42007</v>
      </c>
      <c r="W65" s="2344" t="s">
        <v>71</v>
      </c>
      <c r="X65" s="4292" t="s">
        <v>1807</v>
      </c>
      <c r="Y65" s="866">
        <f t="shared" ca="1" si="7"/>
        <v>2.963888888888889</v>
      </c>
      <c r="Z65" s="79"/>
    </row>
    <row r="66" spans="1:26" ht="14.1" customHeight="1" x14ac:dyDescent="0.25">
      <c r="A66" s="79">
        <v>54</v>
      </c>
      <c r="B66" s="876" t="s">
        <v>1685</v>
      </c>
      <c r="C66" s="1220" t="s">
        <v>2241</v>
      </c>
      <c r="D66" s="2146"/>
      <c r="E66" s="1998"/>
      <c r="F66" s="3782">
        <f t="shared" si="3"/>
        <v>122.09939579728714</v>
      </c>
      <c r="G66" s="867">
        <f>212.5+226.1+383+1001.3+377.3+423.9+592.5+352.8+1496.7</f>
        <v>5066.1000000000004</v>
      </c>
      <c r="H66" s="3908"/>
      <c r="I66" s="822">
        <v>89425541</v>
      </c>
      <c r="J66" s="868">
        <v>349671145</v>
      </c>
      <c r="K66" s="868">
        <v>490618385</v>
      </c>
      <c r="L66" s="868">
        <v>317088663</v>
      </c>
      <c r="M66" s="868">
        <v>579947707</v>
      </c>
      <c r="N66" s="868">
        <v>474364661</v>
      </c>
      <c r="O66" s="868">
        <v>358748909</v>
      </c>
      <c r="P66" s="868">
        <v>35959247</v>
      </c>
      <c r="Q66" s="868">
        <v>193760673</v>
      </c>
      <c r="R66" s="2832" t="s">
        <v>2240</v>
      </c>
      <c r="S66" s="4096" t="s">
        <v>66</v>
      </c>
      <c r="T66" s="2738" t="s">
        <v>2435</v>
      </c>
      <c r="U66" s="3234">
        <v>2</v>
      </c>
      <c r="V66" s="2842">
        <v>41512</v>
      </c>
      <c r="W66" s="3241" t="s">
        <v>71</v>
      </c>
      <c r="X66" s="4287" t="s">
        <v>2243</v>
      </c>
      <c r="Y66" s="871">
        <f t="shared" ca="1" si="7"/>
        <v>4.3166666666666664</v>
      </c>
      <c r="Z66" s="79">
        <v>54</v>
      </c>
    </row>
    <row r="67" spans="1:26" ht="14.1" customHeight="1" x14ac:dyDescent="0.25">
      <c r="A67" s="79"/>
      <c r="B67" s="98" t="s">
        <v>1685</v>
      </c>
      <c r="C67" s="1219" t="s">
        <v>99</v>
      </c>
      <c r="D67" s="1751"/>
      <c r="E67" s="1999" t="s">
        <v>2130</v>
      </c>
      <c r="F67" s="3782">
        <f t="shared" si="3"/>
        <v>122.18006521828667</v>
      </c>
      <c r="G67" s="858">
        <f>280+623+648+738+429+348+744+180+1105</f>
        <v>5095</v>
      </c>
      <c r="H67" s="100"/>
      <c r="I67" s="815">
        <v>80746777</v>
      </c>
      <c r="J67" s="808">
        <v>470056236</v>
      </c>
      <c r="K67" s="781">
        <v>478724569</v>
      </c>
      <c r="L67" s="781">
        <v>307929578</v>
      </c>
      <c r="M67" s="781">
        <v>576714890</v>
      </c>
      <c r="N67" s="781">
        <v>484783957</v>
      </c>
      <c r="O67" s="781">
        <v>320968722</v>
      </c>
      <c r="P67" s="781">
        <v>34837417</v>
      </c>
      <c r="Q67" s="781">
        <v>193711323</v>
      </c>
      <c r="R67" s="873" t="s">
        <v>100</v>
      </c>
      <c r="S67" s="874" t="s">
        <v>66</v>
      </c>
      <c r="T67" s="2638" t="s">
        <v>2435</v>
      </c>
      <c r="U67" s="860">
        <v>1</v>
      </c>
      <c r="V67" s="875">
        <v>39523</v>
      </c>
      <c r="W67" s="862" t="s">
        <v>73</v>
      </c>
      <c r="X67" s="4288" t="s">
        <v>101</v>
      </c>
      <c r="Y67" s="857">
        <f t="shared" ca="1" si="7"/>
        <v>9.7611111111111111</v>
      </c>
      <c r="Z67" s="79"/>
    </row>
    <row r="68" spans="1:26" ht="14.1" customHeight="1" x14ac:dyDescent="0.25">
      <c r="A68" s="79">
        <v>56</v>
      </c>
      <c r="B68" s="908" t="s">
        <v>1685</v>
      </c>
      <c r="C68" s="1217" t="s">
        <v>1542</v>
      </c>
      <c r="D68" s="1270"/>
      <c r="E68" s="1998"/>
      <c r="F68" s="3782">
        <f t="shared" si="3"/>
        <v>122.23515258391896</v>
      </c>
      <c r="G68" s="858">
        <f>216.8+55.2+341.6+596.9+377.3+325.2+64.6+219.3+848.6</f>
        <v>3045.5</v>
      </c>
      <c r="H68" s="3722"/>
      <c r="I68" s="815">
        <v>85566387</v>
      </c>
      <c r="J68" s="781">
        <v>400864727</v>
      </c>
      <c r="K68" s="781">
        <v>481667787</v>
      </c>
      <c r="L68" s="781">
        <v>313282760</v>
      </c>
      <c r="M68" s="781">
        <v>574046330</v>
      </c>
      <c r="N68" s="781">
        <v>485433113</v>
      </c>
      <c r="O68" s="781">
        <v>297838031</v>
      </c>
      <c r="P68" s="781">
        <v>38728339</v>
      </c>
      <c r="Q68" s="841">
        <v>215148334</v>
      </c>
      <c r="R68" s="873" t="s">
        <v>242</v>
      </c>
      <c r="S68" s="935" t="s">
        <v>66</v>
      </c>
      <c r="T68" s="2638" t="s">
        <v>2435</v>
      </c>
      <c r="U68" s="860">
        <v>1</v>
      </c>
      <c r="V68" s="875">
        <v>41615</v>
      </c>
      <c r="W68" s="862" t="s">
        <v>98</v>
      </c>
      <c r="X68" s="4288" t="s">
        <v>1543</v>
      </c>
      <c r="Y68" s="857">
        <f t="shared" ca="1" si="7"/>
        <v>4.0361111111111114</v>
      </c>
      <c r="Z68" s="79">
        <v>56</v>
      </c>
    </row>
    <row r="69" spans="1:26" ht="14.1" customHeight="1" x14ac:dyDescent="0.2">
      <c r="A69" s="79"/>
      <c r="B69" s="2599" t="s">
        <v>1685</v>
      </c>
      <c r="C69" s="3678" t="s">
        <v>2245</v>
      </c>
      <c r="D69" s="1944"/>
      <c r="E69" s="1999"/>
      <c r="F69" s="3782">
        <f t="shared" si="3"/>
        <v>122.37961899145989</v>
      </c>
      <c r="G69" s="2339">
        <f>1239+5606+375+1081+593+629+842+440+1698</f>
        <v>12503</v>
      </c>
      <c r="H69" s="2341"/>
      <c r="I69" s="891">
        <v>79509013</v>
      </c>
      <c r="J69" s="890">
        <v>336453384</v>
      </c>
      <c r="K69" s="890">
        <v>498916706</v>
      </c>
      <c r="L69" s="890">
        <v>308350577</v>
      </c>
      <c r="M69" s="890">
        <v>574773201</v>
      </c>
      <c r="N69" s="890">
        <v>466647197</v>
      </c>
      <c r="O69" s="864">
        <v>362721070</v>
      </c>
      <c r="P69" s="890">
        <v>35703675</v>
      </c>
      <c r="Q69" s="1844">
        <v>190595031</v>
      </c>
      <c r="R69" s="2342" t="s">
        <v>2242</v>
      </c>
      <c r="S69" s="3342" t="s">
        <v>66</v>
      </c>
      <c r="T69" s="2637" t="s">
        <v>2435</v>
      </c>
      <c r="U69" s="2721">
        <v>2</v>
      </c>
      <c r="V69" s="2343">
        <v>42595</v>
      </c>
      <c r="W69" s="2774" t="s">
        <v>2244</v>
      </c>
      <c r="X69" s="2344" t="s">
        <v>2776</v>
      </c>
      <c r="Y69" s="866">
        <f t="shared" ca="1" si="7"/>
        <v>1.3527777777777779</v>
      </c>
      <c r="Z69" s="79"/>
    </row>
    <row r="70" spans="1:26" ht="14.1" customHeight="1" x14ac:dyDescent="0.2">
      <c r="A70" s="79">
        <v>58</v>
      </c>
      <c r="B70" s="3927" t="s">
        <v>1685</v>
      </c>
      <c r="C70" s="1220" t="s">
        <v>1591</v>
      </c>
      <c r="D70" s="1269"/>
      <c r="E70" s="1998"/>
      <c r="F70" s="3782">
        <f t="shared" si="3"/>
        <v>122.41545353048438</v>
      </c>
      <c r="G70" s="3710">
        <f>67.7+66.7+83.2+210.1+66.7+133.4+102.7+63.5+59.7</f>
        <v>853.70000000000016</v>
      </c>
      <c r="H70" s="3867"/>
      <c r="I70" s="840">
        <v>85505721</v>
      </c>
      <c r="J70" s="780">
        <v>542717830</v>
      </c>
      <c r="K70" s="780">
        <v>493511557</v>
      </c>
      <c r="L70" s="780">
        <v>267948151</v>
      </c>
      <c r="M70" s="780">
        <v>579602074</v>
      </c>
      <c r="N70" s="780">
        <v>473825655</v>
      </c>
      <c r="O70" s="780">
        <v>333182817</v>
      </c>
      <c r="P70" s="780">
        <v>37383155</v>
      </c>
      <c r="Q70" s="4062">
        <v>178865586</v>
      </c>
      <c r="R70" s="3744" t="s">
        <v>1589</v>
      </c>
      <c r="S70" s="3751" t="s">
        <v>1590</v>
      </c>
      <c r="T70" s="4125" t="s">
        <v>2435</v>
      </c>
      <c r="U70" s="4141">
        <v>8</v>
      </c>
      <c r="V70" s="127">
        <v>41654</v>
      </c>
      <c r="W70" s="3779" t="s">
        <v>440</v>
      </c>
      <c r="X70" s="4293" t="s">
        <v>2774</v>
      </c>
      <c r="Y70" s="2148">
        <f t="shared" ca="1" si="7"/>
        <v>3.9305555555555554</v>
      </c>
      <c r="Z70" s="79">
        <v>58</v>
      </c>
    </row>
    <row r="71" spans="1:26" ht="14.1" customHeight="1" x14ac:dyDescent="0.2">
      <c r="A71" s="79"/>
      <c r="B71" s="2244" t="s">
        <v>1103</v>
      </c>
      <c r="C71" s="1221" t="s">
        <v>2806</v>
      </c>
      <c r="D71" s="1944" t="s">
        <v>40</v>
      </c>
      <c r="E71" s="1999"/>
      <c r="F71" s="3782">
        <f t="shared" si="3"/>
        <v>122.45749300077512</v>
      </c>
      <c r="G71" s="4010">
        <f>134+312+215+497+480+184+168+425+177+272</f>
        <v>2864</v>
      </c>
      <c r="H71" s="4046"/>
      <c r="I71" s="882">
        <v>79294915</v>
      </c>
      <c r="J71" s="883">
        <v>469539846</v>
      </c>
      <c r="K71" s="4056">
        <v>493043410</v>
      </c>
      <c r="L71" s="4056">
        <v>304617572</v>
      </c>
      <c r="M71" s="883">
        <v>577104610</v>
      </c>
      <c r="N71" s="883">
        <v>487440328</v>
      </c>
      <c r="O71" s="883">
        <v>363105844</v>
      </c>
      <c r="P71" s="883">
        <v>36138527</v>
      </c>
      <c r="Q71" s="4056">
        <v>179406676</v>
      </c>
      <c r="R71" s="3860" t="s">
        <v>80</v>
      </c>
      <c r="S71" s="2836" t="s">
        <v>62</v>
      </c>
      <c r="T71" s="2659" t="s">
        <v>2435</v>
      </c>
      <c r="U71" s="2705">
        <v>3</v>
      </c>
      <c r="V71" s="885">
        <v>42975</v>
      </c>
      <c r="W71" s="118" t="s">
        <v>71</v>
      </c>
      <c r="X71" s="4294" t="s">
        <v>1694</v>
      </c>
      <c r="Y71" s="119">
        <f t="shared" ca="1" si="7"/>
        <v>0.31111111111111112</v>
      </c>
      <c r="Z71" s="79"/>
    </row>
    <row r="72" spans="1:26" ht="14.1" customHeight="1" x14ac:dyDescent="0.2">
      <c r="A72" s="79">
        <v>60</v>
      </c>
      <c r="B72" s="103" t="s">
        <v>1685</v>
      </c>
      <c r="C72" s="1229" t="s">
        <v>2246</v>
      </c>
      <c r="D72" s="1273"/>
      <c r="E72" s="1998"/>
      <c r="F72" s="3782">
        <f t="shared" si="3"/>
        <v>122.49337848078123</v>
      </c>
      <c r="G72" s="3709">
        <f>371+4760+253+514+210+258+598+271+797</f>
        <v>8032</v>
      </c>
      <c r="H72" s="3610"/>
      <c r="I72" s="802">
        <v>87231425</v>
      </c>
      <c r="J72" s="895">
        <v>336453399</v>
      </c>
      <c r="K72" s="895">
        <v>499042151</v>
      </c>
      <c r="L72" s="895">
        <v>311193882</v>
      </c>
      <c r="M72" s="895">
        <v>574410464</v>
      </c>
      <c r="N72" s="895">
        <v>471846411</v>
      </c>
      <c r="O72" s="886">
        <v>362790156</v>
      </c>
      <c r="P72" s="886">
        <v>35587415</v>
      </c>
      <c r="Q72" s="2327">
        <v>196192263</v>
      </c>
      <c r="R72" s="952" t="s">
        <v>2242</v>
      </c>
      <c r="S72" s="1538" t="s">
        <v>66</v>
      </c>
      <c r="T72" s="2738" t="s">
        <v>2435</v>
      </c>
      <c r="U72" s="2720">
        <v>2</v>
      </c>
      <c r="V72" s="973">
        <v>42595</v>
      </c>
      <c r="W72" s="3780" t="s">
        <v>2244</v>
      </c>
      <c r="X72" s="955" t="s">
        <v>2775</v>
      </c>
      <c r="Y72" s="104">
        <f t="shared" ca="1" si="7"/>
        <v>1.3527777777777779</v>
      </c>
      <c r="Z72" s="79">
        <v>60</v>
      </c>
    </row>
    <row r="73" spans="1:26" ht="14.1" customHeight="1" x14ac:dyDescent="0.2">
      <c r="A73" s="79"/>
      <c r="B73" s="901" t="s">
        <v>1685</v>
      </c>
      <c r="C73" s="1222" t="s">
        <v>1509</v>
      </c>
      <c r="D73" s="1269" t="s">
        <v>40</v>
      </c>
      <c r="E73" s="1999" t="s">
        <v>2130</v>
      </c>
      <c r="F73" s="3782">
        <f t="shared" si="3"/>
        <v>122.50521814309394</v>
      </c>
      <c r="G73" s="3216">
        <f>40+136+149+143+174+138+131+20+138</f>
        <v>1069</v>
      </c>
      <c r="H73" s="105">
        <f>26+91+105+74+128+80+74+11+61</f>
        <v>650</v>
      </c>
      <c r="I73" s="896">
        <v>106062384</v>
      </c>
      <c r="J73" s="896">
        <v>413460698</v>
      </c>
      <c r="K73" s="896">
        <v>504212594</v>
      </c>
      <c r="L73" s="896">
        <v>294567520</v>
      </c>
      <c r="M73" s="896">
        <v>585458040</v>
      </c>
      <c r="N73" s="896">
        <v>490817414</v>
      </c>
      <c r="O73" s="896">
        <v>324642920</v>
      </c>
      <c r="P73" s="896">
        <v>38190522</v>
      </c>
      <c r="Q73" s="896">
        <v>167869306</v>
      </c>
      <c r="R73" s="909" t="s">
        <v>523</v>
      </c>
      <c r="S73" s="3228" t="s">
        <v>62</v>
      </c>
      <c r="T73" s="2733" t="s">
        <v>2434</v>
      </c>
      <c r="U73" s="3233">
        <v>8</v>
      </c>
      <c r="V73" s="910">
        <v>41098</v>
      </c>
      <c r="W73" s="911" t="s">
        <v>71</v>
      </c>
      <c r="X73" s="4296" t="s">
        <v>1508</v>
      </c>
      <c r="Y73" s="99">
        <f t="shared" ca="1" si="7"/>
        <v>5.45</v>
      </c>
      <c r="Z73" s="79"/>
    </row>
    <row r="74" spans="1:26" ht="14.1" customHeight="1" x14ac:dyDescent="0.25">
      <c r="A74" s="79">
        <v>62</v>
      </c>
      <c r="B74" s="107" t="s">
        <v>1103</v>
      </c>
      <c r="C74" s="1217" t="s">
        <v>1202</v>
      </c>
      <c r="D74" s="1751"/>
      <c r="E74" s="1998"/>
      <c r="F74" s="3782">
        <f t="shared" si="3"/>
        <v>122.65504727552978</v>
      </c>
      <c r="G74" s="3216">
        <f>118+353+316+153+577+467+246+196+253</f>
        <v>2679</v>
      </c>
      <c r="H74" s="105"/>
      <c r="I74" s="896">
        <v>95432555</v>
      </c>
      <c r="J74" s="896">
        <v>403289660</v>
      </c>
      <c r="K74" s="3619">
        <v>484760105</v>
      </c>
      <c r="L74" s="3619">
        <v>271777543</v>
      </c>
      <c r="M74" s="896">
        <v>585557564</v>
      </c>
      <c r="N74" s="896">
        <v>452056163</v>
      </c>
      <c r="O74" s="3619">
        <v>344467525</v>
      </c>
      <c r="P74" s="896">
        <v>39655270</v>
      </c>
      <c r="Q74" s="4063">
        <v>200157791</v>
      </c>
      <c r="R74" s="3622" t="s">
        <v>102</v>
      </c>
      <c r="S74" s="3228" t="s">
        <v>62</v>
      </c>
      <c r="T74" s="2638" t="s">
        <v>2435</v>
      </c>
      <c r="U74" s="3233">
        <v>8</v>
      </c>
      <c r="V74" s="3649">
        <v>40217</v>
      </c>
      <c r="W74" s="3658" t="s">
        <v>76</v>
      </c>
      <c r="X74" s="4297" t="s">
        <v>1203</v>
      </c>
      <c r="Y74" s="99">
        <f t="shared" ca="1" si="7"/>
        <v>7.8666666666666663</v>
      </c>
      <c r="Z74" s="79">
        <v>62</v>
      </c>
    </row>
    <row r="75" spans="1:26" ht="14.1" customHeight="1" x14ac:dyDescent="0.2">
      <c r="A75" s="79"/>
      <c r="B75" s="3204" t="s">
        <v>1685</v>
      </c>
      <c r="C75" s="3801" t="s">
        <v>1510</v>
      </c>
      <c r="D75" s="1944" t="s">
        <v>40</v>
      </c>
      <c r="E75" s="1999" t="s">
        <v>2130</v>
      </c>
      <c r="F75" s="3782">
        <f t="shared" si="3"/>
        <v>122.89823402135791</v>
      </c>
      <c r="G75" s="1846">
        <f>56+161+170+175+204+162+157+26+208</f>
        <v>1319</v>
      </c>
      <c r="H75" s="3844"/>
      <c r="I75" s="819">
        <v>105153385</v>
      </c>
      <c r="J75" s="819">
        <v>413450026</v>
      </c>
      <c r="K75" s="819">
        <v>504454068</v>
      </c>
      <c r="L75" s="819">
        <v>294567520</v>
      </c>
      <c r="M75" s="819">
        <v>585458040</v>
      </c>
      <c r="N75" s="819">
        <v>490817414</v>
      </c>
      <c r="O75" s="819">
        <v>324577856</v>
      </c>
      <c r="P75" s="819">
        <v>38261586</v>
      </c>
      <c r="Q75" s="3852">
        <v>172050326</v>
      </c>
      <c r="R75" s="1443" t="s">
        <v>523</v>
      </c>
      <c r="S75" s="3629" t="s">
        <v>62</v>
      </c>
      <c r="T75" s="3877" t="s">
        <v>2434</v>
      </c>
      <c r="U75" s="3642">
        <v>8</v>
      </c>
      <c r="V75" s="1445">
        <v>41098</v>
      </c>
      <c r="W75" s="1446" t="s">
        <v>71</v>
      </c>
      <c r="X75" s="4298" t="s">
        <v>1508</v>
      </c>
      <c r="Y75" s="102">
        <f t="shared" ca="1" si="7"/>
        <v>5.45</v>
      </c>
      <c r="Z75" s="79"/>
    </row>
    <row r="76" spans="1:26" ht="14.1" customHeight="1" x14ac:dyDescent="0.2">
      <c r="A76" s="79">
        <v>64</v>
      </c>
      <c r="B76" s="901" t="s">
        <v>1685</v>
      </c>
      <c r="C76" s="1225" t="s">
        <v>1816</v>
      </c>
      <c r="D76" s="1269" t="s">
        <v>40</v>
      </c>
      <c r="E76" s="1998"/>
      <c r="F76" s="3782">
        <f t="shared" si="3"/>
        <v>122.90099242069446</v>
      </c>
      <c r="G76" s="3995">
        <f>120.4+83.8+79.7+326.1+47.9+62.2+160.4+95.9+766.6</f>
        <v>1743</v>
      </c>
      <c r="H76" s="4026"/>
      <c r="I76" s="2757">
        <v>85356727</v>
      </c>
      <c r="J76" s="793">
        <v>413445335</v>
      </c>
      <c r="K76" s="793">
        <v>485263850</v>
      </c>
      <c r="L76" s="793">
        <v>315378301</v>
      </c>
      <c r="M76" s="793">
        <v>578137544</v>
      </c>
      <c r="N76" s="793">
        <v>486880107</v>
      </c>
      <c r="O76" s="793">
        <v>332166309</v>
      </c>
      <c r="P76" s="793">
        <v>39083025</v>
      </c>
      <c r="Q76" s="793">
        <v>201410740</v>
      </c>
      <c r="R76" s="4071" t="s">
        <v>1815</v>
      </c>
      <c r="S76" s="4097" t="s">
        <v>62</v>
      </c>
      <c r="T76" s="2654" t="s">
        <v>2435</v>
      </c>
      <c r="U76" s="4142">
        <v>4</v>
      </c>
      <c r="V76" s="4173">
        <v>42084</v>
      </c>
      <c r="W76" s="4201" t="s">
        <v>76</v>
      </c>
      <c r="X76" s="4299" t="s">
        <v>635</v>
      </c>
      <c r="Y76" s="99">
        <f t="shared" ca="1" si="7"/>
        <v>2.7472222222222222</v>
      </c>
      <c r="Z76" s="79">
        <v>64</v>
      </c>
    </row>
    <row r="77" spans="1:26" ht="14.1" customHeight="1" x14ac:dyDescent="0.25">
      <c r="A77" s="79"/>
      <c r="B77" s="3935" t="s">
        <v>1103</v>
      </c>
      <c r="C77" s="3961" t="s">
        <v>1507</v>
      </c>
      <c r="D77" s="1945"/>
      <c r="E77" s="1999"/>
      <c r="F77" s="3782">
        <f t="shared" ref="F77:F140" si="8">SUM(I77/I$11,J77/J$11,K77/K$11,L77/L$11,M77/M$11,N77/N$11,O77/O$11,P77/P$11,Q77/Q$11)/9*100+(G77/5000)+(IF(H77 = 0,G77,H77)/5000)</f>
        <v>122.91818964066752</v>
      </c>
      <c r="G77" s="1846">
        <f>719+80+2726+489+942+724+990+417+238</f>
        <v>7325</v>
      </c>
      <c r="H77" s="4047"/>
      <c r="I77" s="819">
        <v>85752271</v>
      </c>
      <c r="J77" s="899">
        <v>361509947</v>
      </c>
      <c r="K77" s="899">
        <v>489920850</v>
      </c>
      <c r="L77" s="899">
        <v>298886419</v>
      </c>
      <c r="M77" s="899">
        <v>577911802</v>
      </c>
      <c r="N77" s="899">
        <v>483275656</v>
      </c>
      <c r="O77" s="899">
        <v>355828299</v>
      </c>
      <c r="P77" s="899">
        <v>40097449</v>
      </c>
      <c r="Q77" s="4065">
        <v>185335396</v>
      </c>
      <c r="R77" s="4085" t="s">
        <v>84</v>
      </c>
      <c r="S77" s="3629" t="s">
        <v>62</v>
      </c>
      <c r="T77" s="2659" t="s">
        <v>2435</v>
      </c>
      <c r="U77" s="2302">
        <v>1</v>
      </c>
      <c r="V77" s="1445">
        <v>38483</v>
      </c>
      <c r="W77" s="1446" t="s">
        <v>73</v>
      </c>
      <c r="X77" s="4298" t="s">
        <v>1140</v>
      </c>
      <c r="Y77" s="102">
        <f t="shared" ca="1" si="7"/>
        <v>12.608333333333333</v>
      </c>
      <c r="Z77" s="79"/>
    </row>
    <row r="78" spans="1:26" ht="14.1" customHeight="1" x14ac:dyDescent="0.25">
      <c r="A78" s="79">
        <v>66</v>
      </c>
      <c r="B78" s="3786" t="s">
        <v>1103</v>
      </c>
      <c r="C78" s="3944" t="s">
        <v>764</v>
      </c>
      <c r="D78" s="3211"/>
      <c r="E78" s="2006"/>
      <c r="F78" s="3782">
        <f t="shared" si="8"/>
        <v>122.94768847879006</v>
      </c>
      <c r="G78" s="3996">
        <f>163+52+614+495+826+661+83+126+265</f>
        <v>3285</v>
      </c>
      <c r="H78" s="4027">
        <f>114+25+619+409+662+31+75+248</f>
        <v>2183</v>
      </c>
      <c r="I78" s="822">
        <v>92959368</v>
      </c>
      <c r="J78" s="803">
        <v>408872338</v>
      </c>
      <c r="K78" s="803">
        <v>487351765</v>
      </c>
      <c r="L78" s="803">
        <v>305582289</v>
      </c>
      <c r="M78" s="803">
        <v>592737914</v>
      </c>
      <c r="N78" s="803">
        <v>490590092</v>
      </c>
      <c r="O78" s="803">
        <v>319664733</v>
      </c>
      <c r="P78" s="803">
        <v>38238952</v>
      </c>
      <c r="Q78" s="803">
        <v>192946122</v>
      </c>
      <c r="R78" s="4072" t="s">
        <v>122</v>
      </c>
      <c r="S78" s="4098" t="s">
        <v>62</v>
      </c>
      <c r="T78" s="3875" t="s">
        <v>2435</v>
      </c>
      <c r="U78" s="4143">
        <v>1</v>
      </c>
      <c r="V78" s="4174">
        <v>41069</v>
      </c>
      <c r="W78" s="4202" t="s">
        <v>71</v>
      </c>
      <c r="X78" s="4300" t="s">
        <v>728</v>
      </c>
      <c r="Y78" s="4220">
        <f t="shared" ca="1" si="7"/>
        <v>5.5305555555555559</v>
      </c>
      <c r="Z78" s="79">
        <v>66</v>
      </c>
    </row>
    <row r="79" spans="1:26" ht="14.1" customHeight="1" x14ac:dyDescent="0.25">
      <c r="A79" s="79"/>
      <c r="B79" s="98" t="s">
        <v>1685</v>
      </c>
      <c r="C79" s="1219" t="s">
        <v>1670</v>
      </c>
      <c r="D79" s="1270"/>
      <c r="E79" s="1999" t="s">
        <v>2130</v>
      </c>
      <c r="F79" s="3782">
        <f t="shared" si="8"/>
        <v>122.95867835831105</v>
      </c>
      <c r="G79" s="4011"/>
      <c r="H79" s="872"/>
      <c r="I79" s="2757">
        <v>98816831</v>
      </c>
      <c r="J79" s="898">
        <v>502115581</v>
      </c>
      <c r="K79" s="898">
        <v>492083648</v>
      </c>
      <c r="L79" s="898">
        <v>293705230</v>
      </c>
      <c r="M79" s="898">
        <v>582751906</v>
      </c>
      <c r="N79" s="898">
        <v>485502585</v>
      </c>
      <c r="O79" s="793">
        <v>306869116</v>
      </c>
      <c r="P79" s="898">
        <v>38309760</v>
      </c>
      <c r="Q79" s="898">
        <v>171545984</v>
      </c>
      <c r="R79" s="909" t="s">
        <v>111</v>
      </c>
      <c r="S79" s="3866" t="s">
        <v>66</v>
      </c>
      <c r="T79" s="2635" t="s">
        <v>2435</v>
      </c>
      <c r="U79" s="2249">
        <v>1</v>
      </c>
      <c r="V79" s="910">
        <v>39629</v>
      </c>
      <c r="W79" s="911" t="s">
        <v>73</v>
      </c>
      <c r="X79" s="4301" t="s">
        <v>640</v>
      </c>
      <c r="Y79" s="99">
        <f t="shared" ca="1" si="7"/>
        <v>9.4722222222222214</v>
      </c>
      <c r="Z79" s="79"/>
    </row>
    <row r="80" spans="1:26" ht="14.1" customHeight="1" x14ac:dyDescent="0.25">
      <c r="A80" s="79">
        <v>68</v>
      </c>
      <c r="B80" s="2286" t="s">
        <v>1103</v>
      </c>
      <c r="C80" s="3376" t="s">
        <v>1669</v>
      </c>
      <c r="D80" s="2324"/>
      <c r="E80" s="2004"/>
      <c r="F80" s="3782">
        <f t="shared" si="8"/>
        <v>123.18545929153717</v>
      </c>
      <c r="G80" s="3997"/>
      <c r="H80" s="4028"/>
      <c r="I80" s="807">
        <v>101856759</v>
      </c>
      <c r="J80" s="808">
        <v>407913955</v>
      </c>
      <c r="K80" s="808">
        <v>491460126</v>
      </c>
      <c r="L80" s="808">
        <v>308122202</v>
      </c>
      <c r="M80" s="808">
        <v>590693341</v>
      </c>
      <c r="N80" s="808">
        <v>489051945</v>
      </c>
      <c r="O80" s="781">
        <v>311183180</v>
      </c>
      <c r="P80" s="808">
        <v>37513145</v>
      </c>
      <c r="Q80" s="808">
        <v>198221614</v>
      </c>
      <c r="R80" s="903" t="s">
        <v>144</v>
      </c>
      <c r="S80" s="904" t="s">
        <v>66</v>
      </c>
      <c r="T80" s="2645" t="s">
        <v>2435</v>
      </c>
      <c r="U80" s="905">
        <v>1</v>
      </c>
      <c r="V80" s="906">
        <v>37891</v>
      </c>
      <c r="W80" s="907" t="s">
        <v>145</v>
      </c>
      <c r="X80" s="4302" t="s">
        <v>631</v>
      </c>
      <c r="Y80" s="857">
        <f t="shared" ca="1" si="7"/>
        <v>14.230555555555556</v>
      </c>
      <c r="Z80" s="79">
        <v>68</v>
      </c>
    </row>
    <row r="81" spans="1:26" ht="14.1" customHeight="1" x14ac:dyDescent="0.2">
      <c r="A81" s="79"/>
      <c r="B81" s="98" t="s">
        <v>1685</v>
      </c>
      <c r="C81" s="1222" t="s">
        <v>1671</v>
      </c>
      <c r="D81" s="1269" t="s">
        <v>40</v>
      </c>
      <c r="E81" s="1999" t="s">
        <v>2130</v>
      </c>
      <c r="F81" s="3782">
        <f t="shared" si="8"/>
        <v>123.40354217061683</v>
      </c>
      <c r="G81" s="4012">
        <f>168+202+196+194+219+122+27+68+91.7</f>
        <v>1287.7</v>
      </c>
      <c r="H81" s="2147"/>
      <c r="I81" s="863">
        <v>108172356</v>
      </c>
      <c r="J81" s="864">
        <v>412185160</v>
      </c>
      <c r="K81" s="864">
        <v>507255944</v>
      </c>
      <c r="L81" s="864">
        <v>300897766</v>
      </c>
      <c r="M81" s="864">
        <v>581534528</v>
      </c>
      <c r="N81" s="864">
        <v>484920043</v>
      </c>
      <c r="O81" s="864">
        <v>324387750</v>
      </c>
      <c r="P81" s="864">
        <v>38202132</v>
      </c>
      <c r="Q81" s="864">
        <v>172066806</v>
      </c>
      <c r="R81" s="2040" t="s">
        <v>523</v>
      </c>
      <c r="S81" s="4114" t="s">
        <v>62</v>
      </c>
      <c r="T81" s="4133" t="s">
        <v>2434</v>
      </c>
      <c r="U81" s="4158">
        <v>8</v>
      </c>
      <c r="V81" s="887">
        <v>41098</v>
      </c>
      <c r="W81" s="888" t="s">
        <v>71</v>
      </c>
      <c r="X81" s="4303" t="s">
        <v>2777</v>
      </c>
      <c r="Y81" s="866">
        <f t="shared" ca="1" si="7"/>
        <v>5.45</v>
      </c>
      <c r="Z81" s="79"/>
    </row>
    <row r="82" spans="1:26" ht="14.1" customHeight="1" x14ac:dyDescent="0.25">
      <c r="A82" s="79">
        <v>70</v>
      </c>
      <c r="B82" s="98" t="s">
        <v>1685</v>
      </c>
      <c r="C82" s="3685" t="s">
        <v>1668</v>
      </c>
      <c r="D82" s="1845"/>
      <c r="E82" s="1998" t="s">
        <v>2130</v>
      </c>
      <c r="F82" s="3782">
        <f t="shared" si="8"/>
        <v>123.95719423650304</v>
      </c>
      <c r="G82" s="3998"/>
      <c r="H82" s="4029"/>
      <c r="I82" s="802">
        <v>97991972</v>
      </c>
      <c r="J82" s="975">
        <v>526871036</v>
      </c>
      <c r="K82" s="975">
        <v>467663215</v>
      </c>
      <c r="L82" s="975">
        <v>297266236</v>
      </c>
      <c r="M82" s="975">
        <v>583452991</v>
      </c>
      <c r="N82" s="975">
        <v>483739655</v>
      </c>
      <c r="O82" s="868">
        <v>300975553</v>
      </c>
      <c r="P82" s="975">
        <v>38031300</v>
      </c>
      <c r="Q82" s="975">
        <v>186228420</v>
      </c>
      <c r="R82" s="3859" t="s">
        <v>111</v>
      </c>
      <c r="S82" s="3871" t="s">
        <v>66</v>
      </c>
      <c r="T82" s="3759" t="s">
        <v>2435</v>
      </c>
      <c r="U82" s="3885">
        <v>1</v>
      </c>
      <c r="V82" s="1492">
        <v>39629</v>
      </c>
      <c r="W82" s="870" t="s">
        <v>73</v>
      </c>
      <c r="X82" s="4291" t="s">
        <v>640</v>
      </c>
      <c r="Y82" s="871">
        <f t="shared" ca="1" si="7"/>
        <v>9.4722222222222214</v>
      </c>
      <c r="Z82" s="79">
        <v>70</v>
      </c>
    </row>
    <row r="83" spans="1:26" ht="14.1" customHeight="1" x14ac:dyDescent="0.2">
      <c r="A83" s="79"/>
      <c r="B83" s="98" t="s">
        <v>1685</v>
      </c>
      <c r="C83" s="1225" t="s">
        <v>2222</v>
      </c>
      <c r="D83" s="1269"/>
      <c r="E83" s="1999" t="s">
        <v>2130</v>
      </c>
      <c r="F83" s="3782">
        <f t="shared" si="8"/>
        <v>124.01619780918148</v>
      </c>
      <c r="G83" s="1840">
        <f>694.3+805.4+784.1+1431.3+1406.3+672.4+1158.7+337.6</f>
        <v>7290.0999999999995</v>
      </c>
      <c r="H83" s="1841"/>
      <c r="I83" s="815">
        <v>76843311</v>
      </c>
      <c r="J83" s="781">
        <v>534770341</v>
      </c>
      <c r="K83" s="781">
        <v>486053545</v>
      </c>
      <c r="L83" s="781">
        <v>306603503</v>
      </c>
      <c r="M83" s="781">
        <v>495827721</v>
      </c>
      <c r="N83" s="781">
        <v>474174492</v>
      </c>
      <c r="O83" s="781">
        <v>351459454</v>
      </c>
      <c r="P83" s="781">
        <v>34465685</v>
      </c>
      <c r="Q83" s="3853">
        <v>197061497</v>
      </c>
      <c r="R83" s="877" t="s">
        <v>576</v>
      </c>
      <c r="S83" s="2275" t="s">
        <v>66</v>
      </c>
      <c r="T83" s="2644" t="s">
        <v>2435</v>
      </c>
      <c r="U83" s="879">
        <v>1</v>
      </c>
      <c r="V83" s="880">
        <v>42634</v>
      </c>
      <c r="W83" s="881" t="s">
        <v>208</v>
      </c>
      <c r="X83" s="4285" t="s">
        <v>2213</v>
      </c>
      <c r="Y83" s="857">
        <f t="shared" ca="1" si="7"/>
        <v>1.2472222222222222</v>
      </c>
      <c r="Z83" s="79"/>
    </row>
    <row r="84" spans="1:26" ht="14.1" customHeight="1" x14ac:dyDescent="0.2">
      <c r="A84" s="79">
        <v>72</v>
      </c>
      <c r="B84" s="901" t="s">
        <v>1685</v>
      </c>
      <c r="C84" s="1217" t="s">
        <v>1813</v>
      </c>
      <c r="D84" s="1269" t="s">
        <v>40</v>
      </c>
      <c r="E84" s="1998"/>
      <c r="F84" s="3782">
        <f t="shared" si="8"/>
        <v>124.07337224964007</v>
      </c>
      <c r="G84" s="1840">
        <f>47.3+69+86.9+213.7+66.5+99.4+151.4+61.8+177.1</f>
        <v>973.09999999999991</v>
      </c>
      <c r="H84" s="1841"/>
      <c r="I84" s="815">
        <v>82423242</v>
      </c>
      <c r="J84" s="781">
        <v>541971178</v>
      </c>
      <c r="K84" s="781">
        <v>500900409</v>
      </c>
      <c r="L84" s="781">
        <v>265573919</v>
      </c>
      <c r="M84" s="781">
        <v>581048799</v>
      </c>
      <c r="N84" s="781">
        <v>471895396</v>
      </c>
      <c r="O84" s="781">
        <v>365395869</v>
      </c>
      <c r="P84" s="781">
        <v>37022849</v>
      </c>
      <c r="Q84" s="781">
        <v>189550950</v>
      </c>
      <c r="R84" s="877" t="s">
        <v>1589</v>
      </c>
      <c r="S84" s="2703" t="s">
        <v>1866</v>
      </c>
      <c r="T84" s="2644" t="s">
        <v>2435</v>
      </c>
      <c r="U84" s="2710">
        <v>8</v>
      </c>
      <c r="V84" s="880">
        <v>42040</v>
      </c>
      <c r="W84" s="881" t="s">
        <v>440</v>
      </c>
      <c r="X84" s="4285" t="s">
        <v>2774</v>
      </c>
      <c r="Y84" s="857">
        <f t="shared" ca="1" si="7"/>
        <v>2.875</v>
      </c>
      <c r="Z84" s="79">
        <v>72</v>
      </c>
    </row>
    <row r="85" spans="1:26" ht="14.1" customHeight="1" x14ac:dyDescent="0.25">
      <c r="A85" s="79"/>
      <c r="B85" s="2301" t="s">
        <v>1685</v>
      </c>
      <c r="C85" s="3962" t="s">
        <v>1674</v>
      </c>
      <c r="D85" s="1946"/>
      <c r="E85" s="1999" t="s">
        <v>2130</v>
      </c>
      <c r="F85" s="3782">
        <f t="shared" si="8"/>
        <v>124.22680271458717</v>
      </c>
      <c r="G85" s="2750">
        <f>987+4411+3811+2535+4838+3768+1728+359+1946</f>
        <v>24383</v>
      </c>
      <c r="H85" s="2750">
        <f>970+4517+4033+2465+4670+3701+1739+365+2015</f>
        <v>24475</v>
      </c>
      <c r="I85" s="899">
        <v>77709784</v>
      </c>
      <c r="J85" s="899">
        <v>490752860</v>
      </c>
      <c r="K85" s="899">
        <v>476341671</v>
      </c>
      <c r="L85" s="899">
        <v>284281919</v>
      </c>
      <c r="M85" s="899">
        <v>577945041</v>
      </c>
      <c r="N85" s="899">
        <v>482786594</v>
      </c>
      <c r="O85" s="899">
        <v>309513090</v>
      </c>
      <c r="P85" s="899">
        <v>31490102</v>
      </c>
      <c r="Q85" s="899">
        <v>154192936</v>
      </c>
      <c r="R85" s="1443" t="s">
        <v>94</v>
      </c>
      <c r="S85" s="2284" t="s">
        <v>66</v>
      </c>
      <c r="T85" s="2641" t="s">
        <v>2435</v>
      </c>
      <c r="U85" s="2302">
        <v>1</v>
      </c>
      <c r="V85" s="1445">
        <v>38764</v>
      </c>
      <c r="W85" s="1446" t="s">
        <v>71</v>
      </c>
      <c r="X85" s="4298" t="s">
        <v>95</v>
      </c>
      <c r="Y85" s="102">
        <f t="shared" ca="1" si="7"/>
        <v>11.844444444444445</v>
      </c>
      <c r="Z85" s="79"/>
    </row>
    <row r="86" spans="1:26" ht="14.1" customHeight="1" x14ac:dyDescent="0.2">
      <c r="A86" s="79">
        <v>74</v>
      </c>
      <c r="B86" s="3928" t="s">
        <v>1103</v>
      </c>
      <c r="C86" s="3808" t="s">
        <v>1667</v>
      </c>
      <c r="D86" s="1417" t="s">
        <v>40</v>
      </c>
      <c r="E86" s="1998"/>
      <c r="F86" s="3782">
        <f t="shared" si="8"/>
        <v>124.35142272328881</v>
      </c>
      <c r="G86" s="3999"/>
      <c r="H86" s="3999"/>
      <c r="I86" s="803">
        <v>96006788</v>
      </c>
      <c r="J86" s="803">
        <v>551429377</v>
      </c>
      <c r="K86" s="803">
        <v>486258767</v>
      </c>
      <c r="L86" s="3618">
        <v>298267270</v>
      </c>
      <c r="M86" s="803">
        <v>593584313</v>
      </c>
      <c r="N86" s="3618">
        <v>488392823</v>
      </c>
      <c r="O86" s="803">
        <v>325177589</v>
      </c>
      <c r="P86" s="803">
        <v>36045184</v>
      </c>
      <c r="Q86" s="803">
        <v>170393336</v>
      </c>
      <c r="R86" s="4073" t="s">
        <v>133</v>
      </c>
      <c r="S86" s="4099" t="s">
        <v>66</v>
      </c>
      <c r="T86" s="3759" t="s">
        <v>2435</v>
      </c>
      <c r="U86" s="4144">
        <v>1</v>
      </c>
      <c r="V86" s="4175">
        <v>38618</v>
      </c>
      <c r="W86" s="4203" t="s">
        <v>71</v>
      </c>
      <c r="X86" s="4304" t="s">
        <v>134</v>
      </c>
      <c r="Y86" s="900">
        <f t="shared" ca="1" si="7"/>
        <v>12.241666666666667</v>
      </c>
      <c r="Z86" s="79">
        <v>74</v>
      </c>
    </row>
    <row r="87" spans="1:26" ht="14.1" customHeight="1" x14ac:dyDescent="0.2">
      <c r="A87" s="79"/>
      <c r="B87" s="98" t="s">
        <v>1685</v>
      </c>
      <c r="C87" s="2746" t="s">
        <v>575</v>
      </c>
      <c r="D87" s="1269"/>
      <c r="E87" s="1999" t="s">
        <v>2130</v>
      </c>
      <c r="F87" s="3782">
        <f t="shared" si="8"/>
        <v>124.37436051823919</v>
      </c>
      <c r="G87" s="3832">
        <f>1077+909+869+2104+1600+798+384+1339+1027</f>
        <v>10107</v>
      </c>
      <c r="H87" s="2340"/>
      <c r="I87" s="898">
        <v>76576376</v>
      </c>
      <c r="J87" s="793">
        <v>535503906</v>
      </c>
      <c r="K87" s="793">
        <v>486028153</v>
      </c>
      <c r="L87" s="793">
        <v>304551121</v>
      </c>
      <c r="M87" s="793">
        <v>494587185</v>
      </c>
      <c r="N87" s="793">
        <v>474923533</v>
      </c>
      <c r="O87" s="793">
        <v>349677414</v>
      </c>
      <c r="P87" s="793">
        <v>33730570</v>
      </c>
      <c r="Q87" s="898">
        <v>193096414</v>
      </c>
      <c r="R87" s="909" t="s">
        <v>576</v>
      </c>
      <c r="S87" s="3866" t="s">
        <v>66</v>
      </c>
      <c r="T87" s="2638" t="s">
        <v>2435</v>
      </c>
      <c r="U87" s="2249">
        <v>1</v>
      </c>
      <c r="V87" s="910">
        <v>40908</v>
      </c>
      <c r="W87" s="911" t="s">
        <v>208</v>
      </c>
      <c r="X87" s="4301" t="s">
        <v>2213</v>
      </c>
      <c r="Y87" s="99">
        <f t="shared" ca="1" si="7"/>
        <v>5.9722222222222223</v>
      </c>
      <c r="Z87" s="79"/>
    </row>
    <row r="88" spans="1:26" ht="14.1" customHeight="1" x14ac:dyDescent="0.2">
      <c r="A88" s="79">
        <v>76</v>
      </c>
      <c r="B88" s="98" t="s">
        <v>1685</v>
      </c>
      <c r="C88" s="1217" t="s">
        <v>1232</v>
      </c>
      <c r="D88" s="1269" t="s">
        <v>40</v>
      </c>
      <c r="E88" s="1998" t="s">
        <v>2130</v>
      </c>
      <c r="F88" s="3782">
        <f t="shared" si="8"/>
        <v>124.45283189094995</v>
      </c>
      <c r="G88" s="3832">
        <f>122+515+487+396+548+477+475+51+359</f>
        <v>3430</v>
      </c>
      <c r="H88" s="2340"/>
      <c r="I88" s="793">
        <v>90121506</v>
      </c>
      <c r="J88" s="793">
        <v>430775908</v>
      </c>
      <c r="K88" s="793">
        <v>489930019</v>
      </c>
      <c r="L88" s="793">
        <v>315898262</v>
      </c>
      <c r="M88" s="793">
        <v>578386352</v>
      </c>
      <c r="N88" s="793">
        <v>485829975</v>
      </c>
      <c r="O88" s="793">
        <v>323753445</v>
      </c>
      <c r="P88" s="793">
        <v>37803252</v>
      </c>
      <c r="Q88" s="793">
        <v>204385085</v>
      </c>
      <c r="R88" s="909" t="s">
        <v>96</v>
      </c>
      <c r="S88" s="3866" t="s">
        <v>66</v>
      </c>
      <c r="T88" s="2635" t="s">
        <v>2435</v>
      </c>
      <c r="U88" s="2249">
        <v>1</v>
      </c>
      <c r="V88" s="910">
        <v>39148</v>
      </c>
      <c r="W88" s="911" t="s">
        <v>71</v>
      </c>
      <c r="X88" s="4301" t="s">
        <v>97</v>
      </c>
      <c r="Y88" s="99">
        <f t="shared" ca="1" si="7"/>
        <v>10.786111111111111</v>
      </c>
      <c r="Z88" s="79">
        <v>76</v>
      </c>
    </row>
    <row r="89" spans="1:26" ht="14.1" customHeight="1" x14ac:dyDescent="0.25">
      <c r="A89" s="79"/>
      <c r="B89" s="3671" t="s">
        <v>1103</v>
      </c>
      <c r="C89" s="3963" t="s">
        <v>763</v>
      </c>
      <c r="D89" s="1945"/>
      <c r="E89" s="1999"/>
      <c r="F89" s="3782">
        <f t="shared" si="8"/>
        <v>124.64460256600194</v>
      </c>
      <c r="G89" s="2750">
        <f>76+58+72+246+40+39+83+105+194</f>
        <v>913</v>
      </c>
      <c r="H89" s="2750">
        <f>27+28+20+184+16+13+29+57+148</f>
        <v>522</v>
      </c>
      <c r="I89" s="899">
        <v>93212800</v>
      </c>
      <c r="J89" s="899">
        <v>409067261</v>
      </c>
      <c r="K89" s="899">
        <v>510033127</v>
      </c>
      <c r="L89" s="899">
        <v>307792311</v>
      </c>
      <c r="M89" s="899">
        <v>583840363</v>
      </c>
      <c r="N89" s="899">
        <v>487787256</v>
      </c>
      <c r="O89" s="899">
        <v>321392802</v>
      </c>
      <c r="P89" s="899">
        <v>38231702</v>
      </c>
      <c r="Q89" s="899">
        <v>218410260</v>
      </c>
      <c r="R89" s="3856" t="s">
        <v>122</v>
      </c>
      <c r="S89" s="4115" t="s">
        <v>62</v>
      </c>
      <c r="T89" s="2637" t="s">
        <v>2435</v>
      </c>
      <c r="U89" s="4159">
        <v>8</v>
      </c>
      <c r="V89" s="3891">
        <v>41032</v>
      </c>
      <c r="W89" s="3900" t="s">
        <v>71</v>
      </c>
      <c r="X89" s="4305" t="s">
        <v>729</v>
      </c>
      <c r="Y89" s="102">
        <f t="shared" ca="1" si="7"/>
        <v>5.6305555555555555</v>
      </c>
      <c r="Z89" s="79"/>
    </row>
    <row r="90" spans="1:26" ht="14.1" customHeight="1" x14ac:dyDescent="0.2">
      <c r="A90" s="79">
        <v>78</v>
      </c>
      <c r="B90" s="3587" t="s">
        <v>1685</v>
      </c>
      <c r="C90" s="1217" t="s">
        <v>1592</v>
      </c>
      <c r="D90" s="1417" t="s">
        <v>40</v>
      </c>
      <c r="E90" s="1998"/>
      <c r="F90" s="3782">
        <f t="shared" si="8"/>
        <v>124.73060230251879</v>
      </c>
      <c r="G90" s="111">
        <f>44.1+49.4+67.1+250.6+54.6+114.5+90.2+66.5+67.2</f>
        <v>804.2</v>
      </c>
      <c r="H90" s="2267"/>
      <c r="I90" s="780">
        <v>88619926</v>
      </c>
      <c r="J90" s="837">
        <v>540595177</v>
      </c>
      <c r="K90" s="780">
        <v>491221776</v>
      </c>
      <c r="L90" s="780">
        <v>271464726</v>
      </c>
      <c r="M90" s="780">
        <v>579263017</v>
      </c>
      <c r="N90" s="780">
        <v>472654746</v>
      </c>
      <c r="O90" s="780">
        <v>342445843</v>
      </c>
      <c r="P90" s="780">
        <v>37690335</v>
      </c>
      <c r="Q90" s="780">
        <v>195964925</v>
      </c>
      <c r="R90" s="126" t="s">
        <v>1589</v>
      </c>
      <c r="S90" s="125" t="s">
        <v>1590</v>
      </c>
      <c r="T90" s="2635" t="s">
        <v>2435</v>
      </c>
      <c r="U90" s="2704">
        <v>8</v>
      </c>
      <c r="V90" s="127">
        <v>41654</v>
      </c>
      <c r="W90" s="128" t="s">
        <v>440</v>
      </c>
      <c r="X90" s="4306" t="s">
        <v>2774</v>
      </c>
      <c r="Y90" s="113">
        <f t="shared" ca="1" si="7"/>
        <v>3.9305555555555554</v>
      </c>
      <c r="Z90" s="79">
        <v>78</v>
      </c>
    </row>
    <row r="91" spans="1:26" ht="14.1" customHeight="1" x14ac:dyDescent="0.2">
      <c r="A91" s="79"/>
      <c r="B91" s="2744" t="s">
        <v>1103</v>
      </c>
      <c r="C91" s="3964" t="s">
        <v>1666</v>
      </c>
      <c r="D91" s="1269" t="s">
        <v>40</v>
      </c>
      <c r="E91" s="1999"/>
      <c r="F91" s="3782">
        <f t="shared" si="8"/>
        <v>124.81043845471743</v>
      </c>
      <c r="G91" s="3838"/>
      <c r="H91" s="3838"/>
      <c r="I91" s="913">
        <v>79557116</v>
      </c>
      <c r="J91" s="913">
        <v>543048858</v>
      </c>
      <c r="K91" s="913">
        <v>499251222</v>
      </c>
      <c r="L91" s="883">
        <v>321073660</v>
      </c>
      <c r="M91" s="913">
        <v>577113799</v>
      </c>
      <c r="N91" s="913">
        <v>487604108</v>
      </c>
      <c r="O91" s="883">
        <v>366073941</v>
      </c>
      <c r="P91" s="913">
        <v>36178823</v>
      </c>
      <c r="Q91" s="913">
        <v>179928850</v>
      </c>
      <c r="R91" s="3858" t="s">
        <v>80</v>
      </c>
      <c r="S91" s="4116" t="s">
        <v>62</v>
      </c>
      <c r="T91" s="4134" t="s">
        <v>2435</v>
      </c>
      <c r="U91" s="4160">
        <v>2</v>
      </c>
      <c r="V91" s="3895">
        <v>40435</v>
      </c>
      <c r="W91" s="3901" t="s">
        <v>71</v>
      </c>
      <c r="X91" s="4307" t="s">
        <v>543</v>
      </c>
      <c r="Y91" s="119">
        <f t="shared" ca="1" si="7"/>
        <v>7.2666666666666666</v>
      </c>
      <c r="Z91" s="79"/>
    </row>
    <row r="92" spans="1:26" ht="14.1" customHeight="1" x14ac:dyDescent="0.25">
      <c r="A92" s="79">
        <v>80</v>
      </c>
      <c r="B92" s="1886" t="s">
        <v>1103</v>
      </c>
      <c r="C92" s="1220" t="s">
        <v>1673</v>
      </c>
      <c r="D92" s="1845"/>
      <c r="E92" s="1998"/>
      <c r="F92" s="3782">
        <f t="shared" si="8"/>
        <v>124.89322490274343</v>
      </c>
      <c r="G92" s="914">
        <f>366.8+1423.7+1196.6+1194.3+1174.9+981.2+1006.1+245.5+1204</f>
        <v>8793.0999999999985</v>
      </c>
      <c r="H92" s="967"/>
      <c r="I92" s="886">
        <v>84008979</v>
      </c>
      <c r="J92" s="886">
        <v>396767348</v>
      </c>
      <c r="K92" s="886">
        <v>486843544</v>
      </c>
      <c r="L92" s="886">
        <v>330829476</v>
      </c>
      <c r="M92" s="886">
        <v>576204182</v>
      </c>
      <c r="N92" s="886">
        <v>486101118</v>
      </c>
      <c r="O92" s="886">
        <v>292738127</v>
      </c>
      <c r="P92" s="886">
        <v>38185525</v>
      </c>
      <c r="Q92" s="886">
        <v>218104700</v>
      </c>
      <c r="R92" s="121" t="s">
        <v>82</v>
      </c>
      <c r="S92" s="120" t="s">
        <v>66</v>
      </c>
      <c r="T92" s="2639" t="s">
        <v>2435</v>
      </c>
      <c r="U92" s="122">
        <v>1</v>
      </c>
      <c r="V92" s="123">
        <v>38389</v>
      </c>
      <c r="W92" s="124" t="s">
        <v>73</v>
      </c>
      <c r="X92" s="4308" t="s">
        <v>86</v>
      </c>
      <c r="Y92" s="104">
        <f t="shared" ca="1" si="7"/>
        <v>12.872222222222222</v>
      </c>
      <c r="Z92" s="79">
        <v>80</v>
      </c>
    </row>
    <row r="93" spans="1:26" ht="14.1" customHeight="1" x14ac:dyDescent="0.2">
      <c r="A93" s="79"/>
      <c r="B93" s="915" t="s">
        <v>1103</v>
      </c>
      <c r="C93" s="2149" t="s">
        <v>2231</v>
      </c>
      <c r="D93" s="1269"/>
      <c r="E93" s="1999"/>
      <c r="F93" s="3782">
        <f t="shared" si="8"/>
        <v>124.94320977003471</v>
      </c>
      <c r="G93" s="974">
        <f>57+44+106+114+74+88+145+141+203</f>
        <v>972</v>
      </c>
      <c r="H93" s="917"/>
      <c r="I93" s="837">
        <v>105303394</v>
      </c>
      <c r="J93" s="837">
        <v>353120200</v>
      </c>
      <c r="K93" s="837">
        <v>483175117</v>
      </c>
      <c r="L93" s="837">
        <v>288228879</v>
      </c>
      <c r="M93" s="837">
        <v>579477427</v>
      </c>
      <c r="N93" s="837">
        <v>450942096</v>
      </c>
      <c r="O93" s="780">
        <v>328572108</v>
      </c>
      <c r="P93" s="837">
        <v>51379843</v>
      </c>
      <c r="Q93" s="1797">
        <v>186711446</v>
      </c>
      <c r="R93" s="918" t="s">
        <v>510</v>
      </c>
      <c r="S93" s="2701" t="s">
        <v>62</v>
      </c>
      <c r="T93" s="3881" t="s">
        <v>2436</v>
      </c>
      <c r="U93" s="2707">
        <v>8</v>
      </c>
      <c r="V93" s="920">
        <v>42665</v>
      </c>
      <c r="W93" s="921" t="s">
        <v>76</v>
      </c>
      <c r="X93" s="921" t="s">
        <v>2229</v>
      </c>
      <c r="Y93" s="113">
        <f t="shared" ca="1" si="7"/>
        <v>1.1611111111111112</v>
      </c>
      <c r="Z93" s="79"/>
    </row>
    <row r="94" spans="1:26" ht="14.1" customHeight="1" x14ac:dyDescent="0.2">
      <c r="A94" s="79">
        <v>82</v>
      </c>
      <c r="B94" s="1808" t="s">
        <v>1103</v>
      </c>
      <c r="C94" s="1217" t="s">
        <v>1586</v>
      </c>
      <c r="D94" s="3820"/>
      <c r="E94" s="3597"/>
      <c r="F94" s="3782">
        <f t="shared" si="8"/>
        <v>125.11302528781509</v>
      </c>
      <c r="G94" s="4000">
        <f>75+37+99+96+78+61+140+75+194</f>
        <v>855</v>
      </c>
      <c r="H94" s="4030"/>
      <c r="I94" s="837">
        <v>105129349</v>
      </c>
      <c r="J94" s="837">
        <v>353119940</v>
      </c>
      <c r="K94" s="837">
        <v>483174393</v>
      </c>
      <c r="L94" s="837">
        <v>288145043</v>
      </c>
      <c r="M94" s="837">
        <v>579476391</v>
      </c>
      <c r="N94" s="837">
        <v>465343977</v>
      </c>
      <c r="O94" s="780">
        <v>328571492</v>
      </c>
      <c r="P94" s="837">
        <v>51059005</v>
      </c>
      <c r="Q94" s="837">
        <v>186711164</v>
      </c>
      <c r="R94" s="4074" t="s">
        <v>510</v>
      </c>
      <c r="S94" s="4100" t="s">
        <v>62</v>
      </c>
      <c r="T94" s="4126" t="s">
        <v>2436</v>
      </c>
      <c r="U94" s="4145">
        <v>8</v>
      </c>
      <c r="V94" s="4176">
        <v>41761</v>
      </c>
      <c r="W94" s="4204" t="s">
        <v>76</v>
      </c>
      <c r="X94" s="4204" t="s">
        <v>2230</v>
      </c>
      <c r="Y94" s="4221">
        <f t="shared" ca="1" si="7"/>
        <v>3.6333333333333333</v>
      </c>
      <c r="Z94" s="79">
        <v>82</v>
      </c>
    </row>
    <row r="95" spans="1:26" ht="14.1" customHeight="1" x14ac:dyDescent="0.25">
      <c r="A95" s="79"/>
      <c r="B95" s="114" t="s">
        <v>1685</v>
      </c>
      <c r="C95" s="1221" t="s">
        <v>1416</v>
      </c>
      <c r="D95" s="1946"/>
      <c r="E95" s="1999" t="s">
        <v>2130</v>
      </c>
      <c r="F95" s="3782">
        <f t="shared" si="8"/>
        <v>125.30439704457828</v>
      </c>
      <c r="G95" s="2597">
        <f>135+74+169+321+84+85+100+392+95</f>
        <v>1455</v>
      </c>
      <c r="H95" s="115"/>
      <c r="I95" s="883">
        <v>96926596</v>
      </c>
      <c r="J95" s="883">
        <v>401535701</v>
      </c>
      <c r="K95" s="883">
        <v>494529097</v>
      </c>
      <c r="L95" s="883">
        <v>322515123</v>
      </c>
      <c r="M95" s="883">
        <v>596487480</v>
      </c>
      <c r="N95" s="883">
        <v>487188193</v>
      </c>
      <c r="O95" s="883">
        <v>301389949</v>
      </c>
      <c r="P95" s="883">
        <v>40203453</v>
      </c>
      <c r="Q95" s="883">
        <v>213795355</v>
      </c>
      <c r="R95" s="884" t="s">
        <v>524</v>
      </c>
      <c r="S95" s="116" t="s">
        <v>66</v>
      </c>
      <c r="T95" s="2641" t="s">
        <v>2435</v>
      </c>
      <c r="U95" s="117">
        <v>1</v>
      </c>
      <c r="V95" s="885">
        <v>40912</v>
      </c>
      <c r="W95" s="118" t="s">
        <v>98</v>
      </c>
      <c r="X95" s="4294" t="s">
        <v>525</v>
      </c>
      <c r="Y95" s="119">
        <f t="shared" ca="1" si="7"/>
        <v>5.9611111111111112</v>
      </c>
      <c r="Z95" s="79"/>
    </row>
    <row r="96" spans="1:26" ht="14.1" customHeight="1" x14ac:dyDescent="0.2">
      <c r="A96" s="79">
        <v>84</v>
      </c>
      <c r="B96" s="103" t="s">
        <v>1685</v>
      </c>
      <c r="C96" s="1229" t="s">
        <v>2347</v>
      </c>
      <c r="D96" s="1417" t="s">
        <v>40</v>
      </c>
      <c r="E96" s="1998" t="s">
        <v>2130</v>
      </c>
      <c r="F96" s="3782">
        <f t="shared" si="8"/>
        <v>125.43270955912587</v>
      </c>
      <c r="G96" s="1538">
        <f>146.23+467.49+512.39+451.15+541.13+485.53+536.43+77.09+510.49</f>
        <v>3727.9300000000003</v>
      </c>
      <c r="H96" s="951"/>
      <c r="I96" s="895">
        <v>106419339</v>
      </c>
      <c r="J96" s="886">
        <v>414758694</v>
      </c>
      <c r="K96" s="886">
        <v>495589190</v>
      </c>
      <c r="L96" s="886">
        <v>302910485</v>
      </c>
      <c r="M96" s="886">
        <v>594259180</v>
      </c>
      <c r="N96" s="886">
        <v>494580667</v>
      </c>
      <c r="O96" s="886">
        <v>315505308</v>
      </c>
      <c r="P96" s="886">
        <v>40298834</v>
      </c>
      <c r="Q96" s="2327">
        <v>178953724</v>
      </c>
      <c r="R96" s="952" t="s">
        <v>389</v>
      </c>
      <c r="S96" s="2719" t="s">
        <v>62</v>
      </c>
      <c r="T96" s="2928" t="s">
        <v>2434</v>
      </c>
      <c r="U96" s="954">
        <v>1</v>
      </c>
      <c r="V96" s="973">
        <v>42908</v>
      </c>
      <c r="W96" s="955" t="s">
        <v>417</v>
      </c>
      <c r="X96" s="4295" t="s">
        <v>2348</v>
      </c>
      <c r="Y96" s="104">
        <f t="shared" ca="1" si="7"/>
        <v>0.49444444444444446</v>
      </c>
      <c r="Z96" s="79">
        <v>84</v>
      </c>
    </row>
    <row r="97" spans="1:26" ht="14.1" customHeight="1" x14ac:dyDescent="0.25">
      <c r="A97" s="79"/>
      <c r="B97" s="3792" t="s">
        <v>1103</v>
      </c>
      <c r="C97" s="3965" t="s">
        <v>119</v>
      </c>
      <c r="D97" s="3985"/>
      <c r="E97" s="2001"/>
      <c r="F97" s="3782">
        <f t="shared" si="8"/>
        <v>125.44313713655956</v>
      </c>
      <c r="G97" s="3227">
        <f>157+194+305+68+203+112+304+380+281</f>
        <v>2004</v>
      </c>
      <c r="H97" s="1839"/>
      <c r="I97" s="913">
        <v>111059712</v>
      </c>
      <c r="J97" s="913">
        <v>399127808</v>
      </c>
      <c r="K97" s="913">
        <v>460377360</v>
      </c>
      <c r="L97" s="913">
        <v>309172160</v>
      </c>
      <c r="M97" s="913">
        <v>588457568</v>
      </c>
      <c r="N97" s="913">
        <v>483831216</v>
      </c>
      <c r="O97" s="883">
        <v>297893488</v>
      </c>
      <c r="P97" s="913">
        <v>39694096</v>
      </c>
      <c r="Q97" s="913">
        <v>210053344</v>
      </c>
      <c r="R97" s="2259" t="s">
        <v>120</v>
      </c>
      <c r="S97" s="2260" t="s">
        <v>66</v>
      </c>
      <c r="T97" s="2646" t="s">
        <v>2435</v>
      </c>
      <c r="U97" s="2261">
        <v>1</v>
      </c>
      <c r="V97" s="2262">
        <v>38200</v>
      </c>
      <c r="W97" s="2263" t="s">
        <v>121</v>
      </c>
      <c r="X97" s="4310" t="s">
        <v>92</v>
      </c>
      <c r="Y97" s="119">
        <f t="shared" ca="1" si="7"/>
        <v>13.386111111111111</v>
      </c>
      <c r="Z97" s="79"/>
    </row>
    <row r="98" spans="1:26" ht="14.1" customHeight="1" x14ac:dyDescent="0.2">
      <c r="A98" s="79">
        <v>86</v>
      </c>
      <c r="B98" s="889" t="s">
        <v>1685</v>
      </c>
      <c r="C98" s="3804" t="s">
        <v>1853</v>
      </c>
      <c r="D98" s="1273" t="s">
        <v>40</v>
      </c>
      <c r="E98" s="1998" t="s">
        <v>2130</v>
      </c>
      <c r="F98" s="3782">
        <f t="shared" si="8"/>
        <v>125.45002950330635</v>
      </c>
      <c r="G98" s="922"/>
      <c r="H98" s="922"/>
      <c r="I98" s="886">
        <v>86206329</v>
      </c>
      <c r="J98" s="886">
        <v>532637848</v>
      </c>
      <c r="K98" s="886">
        <v>488712409</v>
      </c>
      <c r="L98" s="886">
        <v>305744176</v>
      </c>
      <c r="M98" s="886">
        <v>576224449</v>
      </c>
      <c r="N98" s="886">
        <v>484247497</v>
      </c>
      <c r="O98" s="886">
        <v>361554908</v>
      </c>
      <c r="P98" s="886">
        <v>35717780</v>
      </c>
      <c r="Q98" s="886">
        <v>196089049</v>
      </c>
      <c r="R98" s="2328" t="s">
        <v>554</v>
      </c>
      <c r="S98" s="2330" t="s">
        <v>66</v>
      </c>
      <c r="T98" s="3879" t="s">
        <v>2435</v>
      </c>
      <c r="U98" s="1413">
        <v>1</v>
      </c>
      <c r="V98" s="2337">
        <v>40540</v>
      </c>
      <c r="W98" s="1414" t="s">
        <v>71</v>
      </c>
      <c r="X98" s="4311" t="s">
        <v>555</v>
      </c>
      <c r="Y98" s="104">
        <f t="shared" ca="1" si="7"/>
        <v>6.9777777777777779</v>
      </c>
      <c r="Z98" s="79">
        <v>86</v>
      </c>
    </row>
    <row r="99" spans="1:26" ht="14.1" customHeight="1" x14ac:dyDescent="0.25">
      <c r="A99" s="79"/>
      <c r="B99" s="98" t="s">
        <v>1685</v>
      </c>
      <c r="C99" s="1217" t="s">
        <v>2590</v>
      </c>
      <c r="D99" s="1270"/>
      <c r="E99" s="1999" t="s">
        <v>2130</v>
      </c>
      <c r="F99" s="3782">
        <f t="shared" si="8"/>
        <v>125.74822375664634</v>
      </c>
      <c r="G99" s="106">
        <f>750+4278+3393+2237+4470+3765+1456+303+1775</f>
        <v>22427</v>
      </c>
      <c r="H99" s="935">
        <f>803+0+0+2448+4752+4004+1413+296+1713</f>
        <v>15429</v>
      </c>
      <c r="I99" s="781">
        <v>85932151</v>
      </c>
      <c r="J99" s="808">
        <v>510674710</v>
      </c>
      <c r="K99" s="781">
        <v>478413959</v>
      </c>
      <c r="L99" s="781">
        <v>286529751</v>
      </c>
      <c r="M99" s="781">
        <v>582155671</v>
      </c>
      <c r="N99" s="781">
        <v>486867113</v>
      </c>
      <c r="O99" s="781">
        <v>318828729</v>
      </c>
      <c r="P99" s="781">
        <v>33346449</v>
      </c>
      <c r="Q99" s="781">
        <v>158192202</v>
      </c>
      <c r="R99" s="873" t="s">
        <v>94</v>
      </c>
      <c r="S99" s="874" t="s">
        <v>66</v>
      </c>
      <c r="T99" s="2635" t="s">
        <v>2435</v>
      </c>
      <c r="U99" s="860">
        <v>1</v>
      </c>
      <c r="V99" s="875">
        <v>37376</v>
      </c>
      <c r="W99" s="862" t="s">
        <v>71</v>
      </c>
      <c r="X99" s="4288" t="s">
        <v>95</v>
      </c>
      <c r="Y99" s="857">
        <f t="shared" ca="1" si="7"/>
        <v>15.638888888888889</v>
      </c>
      <c r="Z99" s="79"/>
    </row>
    <row r="100" spans="1:26" ht="14.1" customHeight="1" x14ac:dyDescent="0.2">
      <c r="A100" s="79">
        <v>88</v>
      </c>
      <c r="B100" s="876" t="s">
        <v>1685</v>
      </c>
      <c r="C100" s="1229" t="s">
        <v>2167</v>
      </c>
      <c r="D100" s="1273"/>
      <c r="E100" s="1998"/>
      <c r="F100" s="3782">
        <f t="shared" si="8"/>
        <v>125.74891774208122</v>
      </c>
      <c r="G100" s="2749">
        <f>453.2+209.78+169.61+986+308.77+229.59+147.2+293.5+225.96</f>
        <v>3023.61</v>
      </c>
      <c r="H100" s="4031"/>
      <c r="I100" s="868">
        <v>110756817</v>
      </c>
      <c r="J100" s="868">
        <v>406718001</v>
      </c>
      <c r="K100" s="868">
        <v>474655785</v>
      </c>
      <c r="L100" s="868">
        <v>303647424</v>
      </c>
      <c r="M100" s="868">
        <v>594681821</v>
      </c>
      <c r="N100" s="868">
        <v>486766755</v>
      </c>
      <c r="O100" s="868">
        <v>300549634</v>
      </c>
      <c r="P100" s="975">
        <v>40823352</v>
      </c>
      <c r="Q100" s="3621">
        <v>195219699</v>
      </c>
      <c r="R100" s="2832" t="s">
        <v>141</v>
      </c>
      <c r="S100" s="3750" t="s">
        <v>66</v>
      </c>
      <c r="T100" s="2738" t="s">
        <v>2435</v>
      </c>
      <c r="U100" s="2838">
        <v>1</v>
      </c>
      <c r="V100" s="2842">
        <v>38823</v>
      </c>
      <c r="W100" s="2844" t="s">
        <v>73</v>
      </c>
      <c r="X100" s="4287" t="s">
        <v>1310</v>
      </c>
      <c r="Y100" s="871">
        <f t="shared" ca="1" si="7"/>
        <v>11.677777777777777</v>
      </c>
      <c r="Z100" s="79">
        <v>88</v>
      </c>
    </row>
    <row r="101" spans="1:26" ht="14.1" customHeight="1" x14ac:dyDescent="0.25">
      <c r="A101" s="79"/>
      <c r="B101" s="98" t="s">
        <v>1685</v>
      </c>
      <c r="C101" s="1217" t="s">
        <v>1682</v>
      </c>
      <c r="D101" s="1270"/>
      <c r="E101" s="1999" t="s">
        <v>2130</v>
      </c>
      <c r="F101" s="3782">
        <f t="shared" si="8"/>
        <v>125.7915337761964</v>
      </c>
      <c r="G101" s="106"/>
      <c r="H101" s="927"/>
      <c r="I101" s="781">
        <v>96927521</v>
      </c>
      <c r="J101" s="781">
        <v>549847725</v>
      </c>
      <c r="K101" s="781">
        <v>493046240</v>
      </c>
      <c r="L101" s="781">
        <v>296677240</v>
      </c>
      <c r="M101" s="781">
        <v>590076036</v>
      </c>
      <c r="N101" s="781">
        <v>491288116</v>
      </c>
      <c r="O101" s="781">
        <v>336818689</v>
      </c>
      <c r="P101" s="781">
        <v>37054168</v>
      </c>
      <c r="Q101" s="781">
        <v>175321640</v>
      </c>
      <c r="R101" s="873" t="s">
        <v>168</v>
      </c>
      <c r="S101" s="874" t="s">
        <v>66</v>
      </c>
      <c r="T101" s="2638" t="s">
        <v>2435</v>
      </c>
      <c r="U101" s="860">
        <v>1</v>
      </c>
      <c r="V101" s="875">
        <v>39791</v>
      </c>
      <c r="W101" s="862" t="s">
        <v>208</v>
      </c>
      <c r="X101" s="4288" t="s">
        <v>542</v>
      </c>
      <c r="Y101" s="857">
        <f t="shared" ca="1" si="7"/>
        <v>9.030555555555555</v>
      </c>
      <c r="Z101" s="79"/>
    </row>
    <row r="102" spans="1:26" ht="14.1" customHeight="1" x14ac:dyDescent="0.25">
      <c r="A102" s="79">
        <v>90</v>
      </c>
      <c r="B102" s="1513" t="s">
        <v>1685</v>
      </c>
      <c r="C102" s="3376" t="s">
        <v>2592</v>
      </c>
      <c r="D102" s="3377"/>
      <c r="E102" s="2004" t="s">
        <v>2130</v>
      </c>
      <c r="F102" s="3782">
        <f t="shared" si="8"/>
        <v>125.85081857602812</v>
      </c>
      <c r="G102" s="2325"/>
      <c r="H102" s="2326"/>
      <c r="I102" s="846">
        <v>108069738</v>
      </c>
      <c r="J102" s="846">
        <v>522103606</v>
      </c>
      <c r="K102" s="846">
        <v>494193746</v>
      </c>
      <c r="L102" s="846">
        <v>296964823</v>
      </c>
      <c r="M102" s="846">
        <v>589340653</v>
      </c>
      <c r="N102" s="846">
        <v>486960489</v>
      </c>
      <c r="O102" s="846">
        <v>318653295</v>
      </c>
      <c r="P102" s="846">
        <v>37884010</v>
      </c>
      <c r="Q102" s="846">
        <v>171677206</v>
      </c>
      <c r="R102" s="2329" t="s">
        <v>147</v>
      </c>
      <c r="S102" s="2332" t="s">
        <v>66</v>
      </c>
      <c r="T102" s="3378" t="s">
        <v>2435</v>
      </c>
      <c r="U102" s="2334">
        <v>1</v>
      </c>
      <c r="V102" s="3893">
        <v>40097</v>
      </c>
      <c r="W102" s="2338" t="s">
        <v>76</v>
      </c>
      <c r="X102" s="4312" t="s">
        <v>148</v>
      </c>
      <c r="Y102" s="852">
        <f t="shared" ca="1" si="7"/>
        <v>8.1916666666666664</v>
      </c>
      <c r="Z102" s="79">
        <v>90</v>
      </c>
    </row>
    <row r="103" spans="1:26" ht="14.1" customHeight="1" x14ac:dyDescent="0.25">
      <c r="A103" s="79"/>
      <c r="B103" s="98" t="s">
        <v>1685</v>
      </c>
      <c r="C103" s="3805" t="s">
        <v>1263</v>
      </c>
      <c r="D103" s="1751"/>
      <c r="E103" s="1999" t="s">
        <v>2130</v>
      </c>
      <c r="F103" s="3782">
        <f t="shared" si="8"/>
        <v>125.86607694110666</v>
      </c>
      <c r="G103" s="945"/>
      <c r="H103" s="927"/>
      <c r="I103" s="808">
        <v>108270717</v>
      </c>
      <c r="J103" s="808">
        <v>501899826</v>
      </c>
      <c r="K103" s="808">
        <v>497994252</v>
      </c>
      <c r="L103" s="808">
        <v>300046294</v>
      </c>
      <c r="M103" s="808">
        <v>590697638</v>
      </c>
      <c r="N103" s="808">
        <v>488567000</v>
      </c>
      <c r="O103" s="781">
        <v>310736978</v>
      </c>
      <c r="P103" s="808">
        <v>39029557</v>
      </c>
      <c r="Q103" s="808">
        <v>175148453</v>
      </c>
      <c r="R103" s="873" t="s">
        <v>104</v>
      </c>
      <c r="S103" s="2702" t="s">
        <v>62</v>
      </c>
      <c r="T103" s="2638" t="s">
        <v>2435</v>
      </c>
      <c r="U103" s="860">
        <v>1</v>
      </c>
      <c r="V103" s="875">
        <v>39683</v>
      </c>
      <c r="W103" s="862" t="s">
        <v>63</v>
      </c>
      <c r="X103" s="4288" t="s">
        <v>116</v>
      </c>
      <c r="Y103" s="857">
        <f t="shared" ca="1" si="7"/>
        <v>9.3249999999999993</v>
      </c>
      <c r="Z103" s="79"/>
    </row>
    <row r="104" spans="1:26" ht="14.1" customHeight="1" x14ac:dyDescent="0.2">
      <c r="A104" s="79">
        <v>92</v>
      </c>
      <c r="B104" s="1513" t="s">
        <v>1685</v>
      </c>
      <c r="C104" s="1226" t="s">
        <v>2591</v>
      </c>
      <c r="D104" s="1417"/>
      <c r="E104" s="1998" t="s">
        <v>2130</v>
      </c>
      <c r="F104" s="3782">
        <f t="shared" si="8"/>
        <v>126.08483301166333</v>
      </c>
      <c r="G104" s="934">
        <f>109.4+333.7+240.3+267.8+311.5+243.5+245.4+55.4+329.9</f>
        <v>2136.9</v>
      </c>
      <c r="H104" s="946"/>
      <c r="I104" s="936">
        <v>109064976</v>
      </c>
      <c r="J104" s="936">
        <v>499127439</v>
      </c>
      <c r="K104" s="936">
        <v>499199461</v>
      </c>
      <c r="L104" s="846">
        <v>297005032</v>
      </c>
      <c r="M104" s="846">
        <v>591413505</v>
      </c>
      <c r="N104" s="846">
        <v>487250991</v>
      </c>
      <c r="O104" s="846">
        <v>308769405</v>
      </c>
      <c r="P104" s="846">
        <v>39017441</v>
      </c>
      <c r="Q104" s="846">
        <v>169142589</v>
      </c>
      <c r="R104" s="847" t="s">
        <v>130</v>
      </c>
      <c r="S104" s="848" t="s">
        <v>66</v>
      </c>
      <c r="T104" s="2651" t="s">
        <v>2435</v>
      </c>
      <c r="U104" s="849">
        <v>1</v>
      </c>
      <c r="V104" s="850">
        <v>41448</v>
      </c>
      <c r="W104" s="851" t="s">
        <v>71</v>
      </c>
      <c r="X104" s="4313" t="s">
        <v>1231</v>
      </c>
      <c r="Y104" s="852">
        <f t="shared" ca="1" si="7"/>
        <v>4.4916666666666663</v>
      </c>
      <c r="Z104" s="79">
        <v>92</v>
      </c>
    </row>
    <row r="105" spans="1:26" ht="14.1" customHeight="1" x14ac:dyDescent="0.25">
      <c r="A105" s="79"/>
      <c r="B105" s="3788" t="s">
        <v>1685</v>
      </c>
      <c r="C105" s="3805" t="s">
        <v>1672</v>
      </c>
      <c r="D105" s="2935"/>
      <c r="E105" s="1999" t="s">
        <v>2130</v>
      </c>
      <c r="F105" s="3782">
        <f t="shared" si="8"/>
        <v>126.11704603637322</v>
      </c>
      <c r="G105" s="106">
        <f>660.4+1364.2+1251+1520.6+1255.4+1054.9+1331.5+441.3+2291.8</f>
        <v>11171.099999999999</v>
      </c>
      <c r="H105" s="927"/>
      <c r="I105" s="781">
        <v>84823247</v>
      </c>
      <c r="J105" s="781">
        <v>515406343</v>
      </c>
      <c r="K105" s="781">
        <v>485310639</v>
      </c>
      <c r="L105" s="781">
        <v>299880731</v>
      </c>
      <c r="M105" s="781">
        <v>576103500</v>
      </c>
      <c r="N105" s="781">
        <v>484900652</v>
      </c>
      <c r="O105" s="781">
        <v>343864694</v>
      </c>
      <c r="P105" s="781">
        <v>33861762</v>
      </c>
      <c r="Q105" s="781">
        <v>179927192</v>
      </c>
      <c r="R105" s="873" t="s">
        <v>104</v>
      </c>
      <c r="S105" s="2702" t="s">
        <v>62</v>
      </c>
      <c r="T105" s="2638" t="s">
        <v>2435</v>
      </c>
      <c r="U105" s="860">
        <v>1</v>
      </c>
      <c r="V105" s="875">
        <v>39683</v>
      </c>
      <c r="W105" s="862" t="s">
        <v>63</v>
      </c>
      <c r="X105" s="4288" t="s">
        <v>105</v>
      </c>
      <c r="Y105" s="857">
        <f t="shared" ca="1" si="7"/>
        <v>9.3249999999999993</v>
      </c>
      <c r="Z105" s="79"/>
    </row>
    <row r="106" spans="1:26" ht="14.1" customHeight="1" x14ac:dyDescent="0.2">
      <c r="A106" s="79">
        <v>94</v>
      </c>
      <c r="B106" s="1513" t="s">
        <v>1685</v>
      </c>
      <c r="C106" s="1508" t="s">
        <v>1812</v>
      </c>
      <c r="D106" s="1417" t="s">
        <v>40</v>
      </c>
      <c r="E106" s="1998"/>
      <c r="F106" s="3782">
        <f t="shared" si="8"/>
        <v>126.15540891144174</v>
      </c>
      <c r="G106" s="1493">
        <f>227.66+97.2+80.67+215.38+65.78+64.14+109.99+224.16+242.47</f>
        <v>1327.45</v>
      </c>
      <c r="H106" s="1411"/>
      <c r="I106" s="846">
        <v>81564462</v>
      </c>
      <c r="J106" s="846">
        <v>541042215</v>
      </c>
      <c r="K106" s="846">
        <v>497561916</v>
      </c>
      <c r="L106" s="846">
        <v>310560877</v>
      </c>
      <c r="M106" s="846">
        <v>577603111</v>
      </c>
      <c r="N106" s="846">
        <v>487467372</v>
      </c>
      <c r="O106" s="846">
        <v>367236108</v>
      </c>
      <c r="P106" s="846">
        <v>36107723</v>
      </c>
      <c r="Q106" s="846">
        <v>192725242</v>
      </c>
      <c r="R106" s="1352" t="s">
        <v>80</v>
      </c>
      <c r="S106" s="2713" t="s">
        <v>62</v>
      </c>
      <c r="T106" s="2660" t="s">
        <v>2435</v>
      </c>
      <c r="U106" s="2718">
        <v>8</v>
      </c>
      <c r="V106" s="1353">
        <v>42053</v>
      </c>
      <c r="W106" s="1354" t="s">
        <v>202</v>
      </c>
      <c r="X106" s="4314" t="s">
        <v>2053</v>
      </c>
      <c r="Y106" s="852">
        <f t="shared" ca="1" si="7"/>
        <v>2.838888888888889</v>
      </c>
      <c r="Z106" s="79">
        <v>94</v>
      </c>
    </row>
    <row r="107" spans="1:26" ht="14.1" customHeight="1" x14ac:dyDescent="0.25">
      <c r="A107" s="79"/>
      <c r="B107" s="901" t="s">
        <v>1685</v>
      </c>
      <c r="C107" s="4642" t="s">
        <v>2654</v>
      </c>
      <c r="D107" s="1947"/>
      <c r="E107" s="2000" t="s">
        <v>2130</v>
      </c>
      <c r="F107" s="3782">
        <f t="shared" si="8"/>
        <v>126.23004993873963</v>
      </c>
      <c r="G107" s="3600">
        <f>100.26+344.61+266.65+274.61+353.36+276.27+311.25+55.67+368.11</f>
        <v>2350.79</v>
      </c>
      <c r="H107" s="3613"/>
      <c r="I107" s="781">
        <v>109184052</v>
      </c>
      <c r="J107" s="781">
        <v>498220344</v>
      </c>
      <c r="K107" s="781">
        <v>499200902</v>
      </c>
      <c r="L107" s="781">
        <v>297257648</v>
      </c>
      <c r="M107" s="781">
        <v>591174549</v>
      </c>
      <c r="N107" s="781">
        <v>487039331</v>
      </c>
      <c r="O107" s="781">
        <v>308851708</v>
      </c>
      <c r="P107" s="781">
        <v>39096305</v>
      </c>
      <c r="Q107" s="781">
        <v>169629226</v>
      </c>
      <c r="R107" s="903" t="s">
        <v>130</v>
      </c>
      <c r="S107" s="3632" t="s">
        <v>62</v>
      </c>
      <c r="T107" s="2658" t="s">
        <v>2435</v>
      </c>
      <c r="U107" s="905">
        <v>1</v>
      </c>
      <c r="V107" s="906">
        <v>42598</v>
      </c>
      <c r="W107" s="907" t="s">
        <v>71</v>
      </c>
      <c r="X107" s="4302" t="s">
        <v>1231</v>
      </c>
      <c r="Y107" s="857">
        <f t="shared" ca="1" si="7"/>
        <v>1.3444444444444446</v>
      </c>
      <c r="Z107" s="79"/>
    </row>
    <row r="108" spans="1:26" ht="14.1" customHeight="1" x14ac:dyDescent="0.2">
      <c r="A108" s="79">
        <v>96</v>
      </c>
      <c r="B108" s="1513" t="s">
        <v>1685</v>
      </c>
      <c r="C108" s="1222" t="s">
        <v>2052</v>
      </c>
      <c r="D108" s="1417" t="s">
        <v>40</v>
      </c>
      <c r="E108" s="1998" t="s">
        <v>2130</v>
      </c>
      <c r="F108" s="3782">
        <f t="shared" si="8"/>
        <v>126.29074353416003</v>
      </c>
      <c r="G108" s="966">
        <f>79.18+280.51+221.75+220.91+258.79+202.39+219.32+48.47+277.66</f>
        <v>1808.9800000000002</v>
      </c>
      <c r="H108" s="943"/>
      <c r="I108" s="808">
        <v>109810846</v>
      </c>
      <c r="J108" s="808">
        <v>500215655</v>
      </c>
      <c r="K108" s="808">
        <v>499561261</v>
      </c>
      <c r="L108" s="808">
        <v>297509634</v>
      </c>
      <c r="M108" s="808">
        <v>591658469</v>
      </c>
      <c r="N108" s="808">
        <v>487192937</v>
      </c>
      <c r="O108" s="781">
        <v>308819829</v>
      </c>
      <c r="P108" s="808">
        <v>39249058</v>
      </c>
      <c r="Q108" s="902">
        <v>169897464</v>
      </c>
      <c r="R108" s="877" t="s">
        <v>130</v>
      </c>
      <c r="S108" s="2703" t="s">
        <v>62</v>
      </c>
      <c r="T108" s="2644" t="s">
        <v>2435</v>
      </c>
      <c r="U108" s="879">
        <v>1</v>
      </c>
      <c r="V108" s="880">
        <v>42472</v>
      </c>
      <c r="W108" s="881" t="s">
        <v>71</v>
      </c>
      <c r="X108" s="4285" t="s">
        <v>1231</v>
      </c>
      <c r="Y108" s="852">
        <f t="shared" ca="1" si="7"/>
        <v>1.6888888888888889</v>
      </c>
      <c r="Z108" s="79">
        <v>96</v>
      </c>
    </row>
    <row r="109" spans="1:26" ht="14.1" customHeight="1" x14ac:dyDescent="0.25">
      <c r="A109" s="79"/>
      <c r="B109" s="98" t="s">
        <v>1685</v>
      </c>
      <c r="C109" s="3803" t="s">
        <v>1233</v>
      </c>
      <c r="D109" s="3819"/>
      <c r="E109" s="1999" t="s">
        <v>2130</v>
      </c>
      <c r="F109" s="3782">
        <f t="shared" si="8"/>
        <v>126.62779226641705</v>
      </c>
      <c r="G109" s="937">
        <f>482+2037+0+1294+1548+1350+1456+203+1476</f>
        <v>9846</v>
      </c>
      <c r="H109" s="2117"/>
      <c r="I109" s="843">
        <v>88221049</v>
      </c>
      <c r="J109" s="843">
        <v>533737274</v>
      </c>
      <c r="K109" s="843">
        <v>477290425</v>
      </c>
      <c r="L109" s="843">
        <v>293893106</v>
      </c>
      <c r="M109" s="843">
        <v>581154502</v>
      </c>
      <c r="N109" s="843">
        <v>484626306</v>
      </c>
      <c r="O109" s="843">
        <v>316902047</v>
      </c>
      <c r="P109" s="843">
        <v>36384661</v>
      </c>
      <c r="Q109" s="843">
        <v>185618928</v>
      </c>
      <c r="R109" s="854" t="s">
        <v>112</v>
      </c>
      <c r="S109" s="2105" t="s">
        <v>66</v>
      </c>
      <c r="T109" s="3231" t="s">
        <v>2435</v>
      </c>
      <c r="U109" s="2141">
        <v>1</v>
      </c>
      <c r="V109" s="855">
        <v>39118</v>
      </c>
      <c r="W109" s="856" t="s">
        <v>71</v>
      </c>
      <c r="X109" s="4315" t="s">
        <v>113</v>
      </c>
      <c r="Y109" s="857">
        <f t="shared" ca="1" si="7"/>
        <v>10.875</v>
      </c>
      <c r="Z109" s="79"/>
    </row>
    <row r="110" spans="1:26" ht="14.1" customHeight="1" x14ac:dyDescent="0.25">
      <c r="A110" s="79">
        <v>98</v>
      </c>
      <c r="B110" s="3929" t="s">
        <v>1685</v>
      </c>
      <c r="C110" s="3945" t="s">
        <v>1198</v>
      </c>
      <c r="D110" s="3595"/>
      <c r="E110" s="3212" t="s">
        <v>2130</v>
      </c>
      <c r="F110" s="3906">
        <f t="shared" si="8"/>
        <v>126.72493395761381</v>
      </c>
      <c r="G110" s="4001"/>
      <c r="H110" s="4032"/>
      <c r="I110" s="940">
        <v>116635812</v>
      </c>
      <c r="J110" s="781">
        <v>421314004</v>
      </c>
      <c r="K110" s="781">
        <v>478896238</v>
      </c>
      <c r="L110" s="781">
        <v>308597737</v>
      </c>
      <c r="M110" s="781">
        <v>594394289</v>
      </c>
      <c r="N110" s="781">
        <v>487528532</v>
      </c>
      <c r="O110" s="781">
        <v>313543103</v>
      </c>
      <c r="P110" s="781">
        <v>40462792</v>
      </c>
      <c r="Q110" s="781">
        <v>195272402</v>
      </c>
      <c r="R110" s="4075" t="s">
        <v>141</v>
      </c>
      <c r="S110" s="4101" t="s">
        <v>66</v>
      </c>
      <c r="T110" s="4127" t="s">
        <v>2435</v>
      </c>
      <c r="U110" s="4146">
        <v>1</v>
      </c>
      <c r="V110" s="4177">
        <v>36628</v>
      </c>
      <c r="W110" s="4205" t="s">
        <v>73</v>
      </c>
      <c r="X110" s="4316" t="s">
        <v>1310</v>
      </c>
      <c r="Y110" s="2300">
        <f t="shared" ca="1" si="7"/>
        <v>17.68888888888889</v>
      </c>
      <c r="Z110" s="79">
        <v>98</v>
      </c>
    </row>
    <row r="111" spans="1:26" ht="14.1" customHeight="1" x14ac:dyDescent="0.2">
      <c r="A111" s="79"/>
      <c r="B111" s="901" t="s">
        <v>1685</v>
      </c>
      <c r="C111" s="1854" t="s">
        <v>2593</v>
      </c>
      <c r="D111" s="1269" t="s">
        <v>40</v>
      </c>
      <c r="E111" s="1999"/>
      <c r="F111" s="3782">
        <f t="shared" si="8"/>
        <v>127.05112692042661</v>
      </c>
      <c r="G111" s="937">
        <f>100+76+147+216+55+80+170+133+232</f>
        <v>1209</v>
      </c>
      <c r="H111" s="938"/>
      <c r="I111" s="853">
        <v>88534765</v>
      </c>
      <c r="J111" s="939">
        <v>411371250</v>
      </c>
      <c r="K111" s="843">
        <v>482105407</v>
      </c>
      <c r="L111" s="843">
        <v>324170450</v>
      </c>
      <c r="M111" s="843">
        <v>577523189</v>
      </c>
      <c r="N111" s="843">
        <v>487374122</v>
      </c>
      <c r="O111" s="843">
        <v>332646388</v>
      </c>
      <c r="P111" s="843">
        <v>41620483</v>
      </c>
      <c r="Q111" s="843">
        <v>235589271</v>
      </c>
      <c r="R111" s="854" t="s">
        <v>1801</v>
      </c>
      <c r="S111" s="2105" t="s">
        <v>66</v>
      </c>
      <c r="T111" s="3231" t="s">
        <v>2435</v>
      </c>
      <c r="U111" s="2141">
        <v>1</v>
      </c>
      <c r="V111" s="855">
        <v>40773</v>
      </c>
      <c r="W111" s="856" t="s">
        <v>74</v>
      </c>
      <c r="X111" s="4315" t="s">
        <v>635</v>
      </c>
      <c r="Y111" s="857">
        <f t="shared" ca="1" si="7"/>
        <v>6.3388888888888886</v>
      </c>
      <c r="Z111" s="79"/>
    </row>
    <row r="112" spans="1:26" ht="14.1" customHeight="1" x14ac:dyDescent="0.2">
      <c r="A112" s="79">
        <v>100</v>
      </c>
      <c r="B112" s="2743" t="s">
        <v>1103</v>
      </c>
      <c r="C112" s="2316" t="s">
        <v>1806</v>
      </c>
      <c r="D112" s="1417" t="s">
        <v>40</v>
      </c>
      <c r="E112" s="1998"/>
      <c r="F112" s="3782">
        <f t="shared" si="8"/>
        <v>127.11188036370402</v>
      </c>
      <c r="G112" s="1493">
        <f>130+118+127+365+147+99+228+153+417</f>
        <v>1784</v>
      </c>
      <c r="H112" s="1411"/>
      <c r="I112" s="845">
        <v>79552176</v>
      </c>
      <c r="J112" s="846">
        <v>542492381</v>
      </c>
      <c r="K112" s="846">
        <v>499258382</v>
      </c>
      <c r="L112" s="846">
        <v>321069886</v>
      </c>
      <c r="M112" s="846">
        <v>577113358</v>
      </c>
      <c r="N112" s="846">
        <v>487604053</v>
      </c>
      <c r="O112" s="846">
        <v>366073937</v>
      </c>
      <c r="P112" s="846">
        <v>36173383</v>
      </c>
      <c r="Q112" s="846">
        <v>200418526</v>
      </c>
      <c r="R112" s="1352" t="s">
        <v>80</v>
      </c>
      <c r="S112" s="2713" t="s">
        <v>62</v>
      </c>
      <c r="T112" s="2660" t="s">
        <v>2435</v>
      </c>
      <c r="U112" s="2718">
        <v>6</v>
      </c>
      <c r="V112" s="1353">
        <v>42007</v>
      </c>
      <c r="W112" s="1354" t="s">
        <v>71</v>
      </c>
      <c r="X112" s="4314" t="s">
        <v>1808</v>
      </c>
      <c r="Y112" s="852">
        <f t="shared" ca="1" si="7"/>
        <v>2.963888888888889</v>
      </c>
      <c r="Z112" s="79">
        <v>100</v>
      </c>
    </row>
    <row r="113" spans="1:26" ht="14.1" customHeight="1" x14ac:dyDescent="0.25">
      <c r="A113" s="79"/>
      <c r="B113" s="98" t="s">
        <v>1685</v>
      </c>
      <c r="C113" s="3966" t="s">
        <v>2594</v>
      </c>
      <c r="D113" s="1270"/>
      <c r="E113" s="1999" t="s">
        <v>2130</v>
      </c>
      <c r="F113" s="3782">
        <f t="shared" si="8"/>
        <v>127.16578954115721</v>
      </c>
      <c r="G113" s="945"/>
      <c r="H113" s="927"/>
      <c r="I113" s="944">
        <v>108002392</v>
      </c>
      <c r="J113" s="808">
        <v>528946894</v>
      </c>
      <c r="K113" s="808">
        <v>487957436</v>
      </c>
      <c r="L113" s="808">
        <v>300665961</v>
      </c>
      <c r="M113" s="808">
        <v>587743831</v>
      </c>
      <c r="N113" s="808">
        <v>485577118</v>
      </c>
      <c r="O113" s="781">
        <v>311046550</v>
      </c>
      <c r="P113" s="808">
        <v>38464708</v>
      </c>
      <c r="Q113" s="808">
        <v>187992164</v>
      </c>
      <c r="R113" s="873" t="s">
        <v>166</v>
      </c>
      <c r="S113" s="874" t="s">
        <v>131</v>
      </c>
      <c r="T113" s="2638" t="s">
        <v>2435</v>
      </c>
      <c r="U113" s="860">
        <v>1</v>
      </c>
      <c r="V113" s="875">
        <v>37802</v>
      </c>
      <c r="W113" s="862" t="s">
        <v>73</v>
      </c>
      <c r="X113" s="4288" t="s">
        <v>167</v>
      </c>
      <c r="Y113" s="857">
        <f t="shared" ca="1" si="7"/>
        <v>14.472222222222221</v>
      </c>
      <c r="Z113" s="79"/>
    </row>
    <row r="114" spans="1:26" ht="14.1" customHeight="1" x14ac:dyDescent="0.2">
      <c r="A114" s="79">
        <v>102</v>
      </c>
      <c r="B114" s="1537" t="s">
        <v>1103</v>
      </c>
      <c r="C114" s="2933" t="s">
        <v>1664</v>
      </c>
      <c r="D114" s="1417"/>
      <c r="E114" s="1998"/>
      <c r="F114" s="3782">
        <f t="shared" si="8"/>
        <v>127.20861238926079</v>
      </c>
      <c r="G114" s="934">
        <f>31+140+83+213+73+71+245+146+196</f>
        <v>1198</v>
      </c>
      <c r="H114" s="1494">
        <f>24+12+12+27+14+11+11+43+8</f>
        <v>162</v>
      </c>
      <c r="I114" s="4776">
        <v>90221514</v>
      </c>
      <c r="J114" s="4777">
        <v>432589007</v>
      </c>
      <c r="K114" s="4777">
        <v>504353046</v>
      </c>
      <c r="L114" s="4777">
        <v>331482218</v>
      </c>
      <c r="M114" s="4777">
        <v>575583974</v>
      </c>
      <c r="N114" s="4777">
        <v>487396909</v>
      </c>
      <c r="O114" s="4777">
        <v>346630361</v>
      </c>
      <c r="P114" s="4777">
        <v>39728230</v>
      </c>
      <c r="Q114" s="4777">
        <v>218720782</v>
      </c>
      <c r="R114" s="847" t="s">
        <v>122</v>
      </c>
      <c r="S114" s="2717" t="s">
        <v>62</v>
      </c>
      <c r="T114" s="2651" t="s">
        <v>2435</v>
      </c>
      <c r="U114" s="2716">
        <v>8</v>
      </c>
      <c r="V114" s="850">
        <v>41835</v>
      </c>
      <c r="W114" s="851" t="s">
        <v>71</v>
      </c>
      <c r="X114" s="4313" t="s">
        <v>730</v>
      </c>
      <c r="Y114" s="852">
        <f t="shared" ca="1" si="7"/>
        <v>3.4305555555555554</v>
      </c>
      <c r="Z114" s="79">
        <v>102</v>
      </c>
    </row>
    <row r="115" spans="1:26" ht="14.1" customHeight="1" x14ac:dyDescent="0.25">
      <c r="A115" s="79"/>
      <c r="B115" s="964" t="s">
        <v>1103</v>
      </c>
      <c r="C115" s="3967" t="s">
        <v>2595</v>
      </c>
      <c r="D115" s="3821"/>
      <c r="E115" s="2254" t="s">
        <v>2130</v>
      </c>
      <c r="F115" s="3782">
        <f t="shared" si="8"/>
        <v>127.31011291569109</v>
      </c>
      <c r="G115" s="3602"/>
      <c r="H115" s="3613"/>
      <c r="I115" s="781">
        <v>108531937</v>
      </c>
      <c r="J115" s="781">
        <v>532097101</v>
      </c>
      <c r="K115" s="781">
        <v>482505605</v>
      </c>
      <c r="L115" s="781">
        <v>302273608</v>
      </c>
      <c r="M115" s="781">
        <v>594825412</v>
      </c>
      <c r="N115" s="781">
        <v>490128616</v>
      </c>
      <c r="O115" s="781">
        <v>317729374</v>
      </c>
      <c r="P115" s="781">
        <v>38146497</v>
      </c>
      <c r="Q115" s="781">
        <v>182664270</v>
      </c>
      <c r="R115" s="4086" t="s">
        <v>147</v>
      </c>
      <c r="S115" s="3611" t="s">
        <v>66</v>
      </c>
      <c r="T115" s="2649" t="s">
        <v>2435</v>
      </c>
      <c r="U115" s="3645">
        <v>1</v>
      </c>
      <c r="V115" s="3651">
        <v>38398</v>
      </c>
      <c r="W115" s="3660" t="s">
        <v>76</v>
      </c>
      <c r="X115" s="4317" t="s">
        <v>148</v>
      </c>
      <c r="Y115" s="857">
        <f t="shared" ca="1" si="7"/>
        <v>12.847222222222221</v>
      </c>
      <c r="Z115" s="79"/>
    </row>
    <row r="116" spans="1:26" ht="14.1" customHeight="1" x14ac:dyDescent="0.2">
      <c r="A116" s="79">
        <v>104</v>
      </c>
      <c r="B116" s="2744" t="s">
        <v>1103</v>
      </c>
      <c r="C116" s="1217" t="s">
        <v>2251</v>
      </c>
      <c r="D116" s="1269"/>
      <c r="E116" s="1998"/>
      <c r="F116" s="3782">
        <f t="shared" si="8"/>
        <v>127.35675405567419</v>
      </c>
      <c r="G116" s="106">
        <f>160+291+396+317+284+181+589+186+255</f>
        <v>2659</v>
      </c>
      <c r="H116" s="927"/>
      <c r="I116" s="944">
        <v>82646228</v>
      </c>
      <c r="J116" s="808">
        <v>542246354</v>
      </c>
      <c r="K116" s="781">
        <v>499106566</v>
      </c>
      <c r="L116" s="781">
        <v>308478949</v>
      </c>
      <c r="M116" s="781">
        <v>577347094</v>
      </c>
      <c r="N116" s="781">
        <v>487529990</v>
      </c>
      <c r="O116" s="781">
        <v>366031789</v>
      </c>
      <c r="P116" s="781">
        <v>36829121</v>
      </c>
      <c r="Q116" s="781">
        <v>196472236</v>
      </c>
      <c r="R116" s="873" t="s">
        <v>80</v>
      </c>
      <c r="S116" s="874" t="s">
        <v>66</v>
      </c>
      <c r="T116" s="2638" t="s">
        <v>2435</v>
      </c>
      <c r="U116" s="2714">
        <v>2</v>
      </c>
      <c r="V116" s="875">
        <v>41969</v>
      </c>
      <c r="W116" s="862" t="s">
        <v>76</v>
      </c>
      <c r="X116" s="4288" t="s">
        <v>1084</v>
      </c>
      <c r="Y116" s="852">
        <f t="shared" ref="Y116:Y163" ca="1" si="9">YEARFRAC(V116,Y$6)</f>
        <v>3.0666666666666669</v>
      </c>
      <c r="Z116" s="79">
        <v>104</v>
      </c>
    </row>
    <row r="117" spans="1:26" ht="14.1" customHeight="1" x14ac:dyDescent="0.25">
      <c r="A117" s="79"/>
      <c r="B117" s="3936" t="s">
        <v>1685</v>
      </c>
      <c r="C117" s="3677" t="s">
        <v>1665</v>
      </c>
      <c r="D117" s="1951"/>
      <c r="E117" s="2005" t="s">
        <v>2130</v>
      </c>
      <c r="F117" s="3782">
        <f t="shared" si="8"/>
        <v>127.38337242538083</v>
      </c>
      <c r="G117" s="1506">
        <f>459.2+780+693+459.4+630.2+272.5+94.1+687.9+582.1</f>
        <v>4658.4000000000005</v>
      </c>
      <c r="H117" s="1304"/>
      <c r="I117" s="3221">
        <v>107096473</v>
      </c>
      <c r="J117" s="939">
        <v>517633014</v>
      </c>
      <c r="K117" s="939">
        <v>505470065</v>
      </c>
      <c r="L117" s="939">
        <v>296483301</v>
      </c>
      <c r="M117" s="939">
        <v>589660415</v>
      </c>
      <c r="N117" s="939">
        <v>489144884</v>
      </c>
      <c r="O117" s="843">
        <v>319356247</v>
      </c>
      <c r="P117" s="939">
        <v>37819153</v>
      </c>
      <c r="Q117" s="939">
        <v>167169555</v>
      </c>
      <c r="R117" s="4087" t="s">
        <v>147</v>
      </c>
      <c r="S117" s="4117" t="s">
        <v>66</v>
      </c>
      <c r="T117" s="2637" t="s">
        <v>2435</v>
      </c>
      <c r="U117" s="4161">
        <v>1</v>
      </c>
      <c r="V117" s="4188">
        <v>40840</v>
      </c>
      <c r="W117" s="4215" t="s">
        <v>76</v>
      </c>
      <c r="X117" s="4318" t="s">
        <v>148</v>
      </c>
      <c r="Y117" s="857">
        <f t="shared" ca="1" si="9"/>
        <v>6.1555555555555559</v>
      </c>
      <c r="Z117" s="79"/>
    </row>
    <row r="118" spans="1:26" ht="14.1" customHeight="1" x14ac:dyDescent="0.2">
      <c r="A118" s="79">
        <v>106</v>
      </c>
      <c r="B118" s="889" t="s">
        <v>1685</v>
      </c>
      <c r="C118" s="3946" t="s">
        <v>2596</v>
      </c>
      <c r="D118" s="1273" t="s">
        <v>40</v>
      </c>
      <c r="E118" s="1998" t="s">
        <v>2130</v>
      </c>
      <c r="F118" s="3782">
        <f t="shared" si="8"/>
        <v>127.43057536467927</v>
      </c>
      <c r="G118" s="2325"/>
      <c r="H118" s="2326"/>
      <c r="I118" s="845">
        <v>88578383</v>
      </c>
      <c r="J118" s="846">
        <v>541569322</v>
      </c>
      <c r="K118" s="846">
        <v>500259902</v>
      </c>
      <c r="L118" s="846">
        <v>311681734</v>
      </c>
      <c r="M118" s="846">
        <v>581554823</v>
      </c>
      <c r="N118" s="846">
        <v>489877140</v>
      </c>
      <c r="O118" s="846">
        <v>366175283</v>
      </c>
      <c r="P118" s="846">
        <v>36216616</v>
      </c>
      <c r="Q118" s="846">
        <v>197679384</v>
      </c>
      <c r="R118" s="2329" t="s">
        <v>554</v>
      </c>
      <c r="S118" s="2332" t="s">
        <v>66</v>
      </c>
      <c r="T118" s="3378" t="s">
        <v>2435</v>
      </c>
      <c r="U118" s="4147">
        <v>2</v>
      </c>
      <c r="V118" s="3893">
        <v>40500</v>
      </c>
      <c r="W118" s="2338" t="s">
        <v>71</v>
      </c>
      <c r="X118" s="4312" t="s">
        <v>553</v>
      </c>
      <c r="Y118" s="852">
        <f t="shared" ca="1" si="9"/>
        <v>7.0888888888888886</v>
      </c>
      <c r="Z118" s="79">
        <v>106</v>
      </c>
    </row>
    <row r="119" spans="1:26" ht="14.1" customHeight="1" x14ac:dyDescent="0.2">
      <c r="A119" s="79"/>
      <c r="B119" s="98" t="s">
        <v>1685</v>
      </c>
      <c r="C119" s="1217" t="s">
        <v>1845</v>
      </c>
      <c r="D119" s="1269"/>
      <c r="E119" s="1999"/>
      <c r="F119" s="3782">
        <f t="shared" si="8"/>
        <v>127.68284737731577</v>
      </c>
      <c r="G119" s="966">
        <f>184.76+151.458+153.783+206.285+100.204+95.137+198.479+258.27+240.76</f>
        <v>1589.136</v>
      </c>
      <c r="H119" s="943"/>
      <c r="I119" s="944">
        <v>111681776</v>
      </c>
      <c r="J119" s="808">
        <v>400606541</v>
      </c>
      <c r="K119" s="808">
        <v>466145689</v>
      </c>
      <c r="L119" s="808">
        <v>321335731</v>
      </c>
      <c r="M119" s="808">
        <v>593974608</v>
      </c>
      <c r="N119" s="808">
        <v>484095294</v>
      </c>
      <c r="O119" s="781">
        <v>290114291</v>
      </c>
      <c r="P119" s="808">
        <v>52533832</v>
      </c>
      <c r="Q119" s="902">
        <v>173508163</v>
      </c>
      <c r="R119" s="877" t="s">
        <v>128</v>
      </c>
      <c r="S119" s="2703" t="s">
        <v>62</v>
      </c>
      <c r="T119" s="2644" t="s">
        <v>2435</v>
      </c>
      <c r="U119" s="2710">
        <v>3</v>
      </c>
      <c r="V119" s="880">
        <v>42152</v>
      </c>
      <c r="W119" s="881" t="s">
        <v>98</v>
      </c>
      <c r="X119" s="4285" t="s">
        <v>92</v>
      </c>
      <c r="Y119" s="857">
        <f t="shared" ca="1" si="9"/>
        <v>2.5611111111111109</v>
      </c>
      <c r="Z119" s="79"/>
    </row>
    <row r="120" spans="1:26" ht="14.1" customHeight="1" x14ac:dyDescent="0.2">
      <c r="A120" s="79">
        <v>108</v>
      </c>
      <c r="B120" s="98" t="s">
        <v>1685</v>
      </c>
      <c r="C120" s="1217" t="s">
        <v>1842</v>
      </c>
      <c r="D120" s="1269"/>
      <c r="E120" s="1998"/>
      <c r="F120" s="3782">
        <f t="shared" si="8"/>
        <v>127.76267319325149</v>
      </c>
      <c r="G120" s="966">
        <f>136.961+160.175+162.687+180.587+109.773+94.096+169.183+459.933</f>
        <v>1473.395</v>
      </c>
      <c r="H120" s="943"/>
      <c r="I120" s="944">
        <v>111994192</v>
      </c>
      <c r="J120" s="808">
        <v>400715647</v>
      </c>
      <c r="K120" s="808">
        <v>466105919</v>
      </c>
      <c r="L120" s="808">
        <v>321324955</v>
      </c>
      <c r="M120" s="808">
        <v>594046748</v>
      </c>
      <c r="N120" s="781">
        <v>484114554</v>
      </c>
      <c r="O120" s="781">
        <v>290056583</v>
      </c>
      <c r="P120" s="781">
        <v>52653818</v>
      </c>
      <c r="Q120" s="3853">
        <v>173887879</v>
      </c>
      <c r="R120" s="877" t="s">
        <v>128</v>
      </c>
      <c r="S120" s="2703" t="s">
        <v>62</v>
      </c>
      <c r="T120" s="2644" t="s">
        <v>2435</v>
      </c>
      <c r="U120" s="879">
        <v>1</v>
      </c>
      <c r="V120" s="880">
        <v>42147</v>
      </c>
      <c r="W120" s="881" t="s">
        <v>98</v>
      </c>
      <c r="X120" s="4285" t="s">
        <v>92</v>
      </c>
      <c r="Y120" s="852">
        <f t="shared" ca="1" si="9"/>
        <v>2.5750000000000002</v>
      </c>
      <c r="Z120" s="79">
        <v>108</v>
      </c>
    </row>
    <row r="121" spans="1:26" ht="14.1" customHeight="1" x14ac:dyDescent="0.25">
      <c r="A121" s="79"/>
      <c r="B121" s="2145" t="s">
        <v>1685</v>
      </c>
      <c r="C121" s="1854" t="s">
        <v>1414</v>
      </c>
      <c r="D121" s="3986"/>
      <c r="E121" s="1999" t="s">
        <v>2130</v>
      </c>
      <c r="F121" s="3782">
        <f t="shared" si="8"/>
        <v>128.26222217837565</v>
      </c>
      <c r="G121" s="937">
        <f>273+802+840+857+761+657+642+203+1138</f>
        <v>6173</v>
      </c>
      <c r="H121" s="2117"/>
      <c r="I121" s="853">
        <v>101735814</v>
      </c>
      <c r="J121" s="843">
        <v>546893296</v>
      </c>
      <c r="K121" s="843">
        <v>492566701</v>
      </c>
      <c r="L121" s="843">
        <v>293867873</v>
      </c>
      <c r="M121" s="843">
        <v>587588278</v>
      </c>
      <c r="N121" s="843">
        <v>489455650</v>
      </c>
      <c r="O121" s="843">
        <v>331538623</v>
      </c>
      <c r="P121" s="843">
        <v>36285821</v>
      </c>
      <c r="Q121" s="843">
        <v>175973254</v>
      </c>
      <c r="R121" s="854" t="s">
        <v>139</v>
      </c>
      <c r="S121" s="2105" t="s">
        <v>66</v>
      </c>
      <c r="T121" s="2739" t="s">
        <v>2435</v>
      </c>
      <c r="U121" s="2141">
        <v>1</v>
      </c>
      <c r="V121" s="855">
        <v>38808</v>
      </c>
      <c r="W121" s="856" t="s">
        <v>71</v>
      </c>
      <c r="X121" s="4315" t="s">
        <v>631</v>
      </c>
      <c r="Y121" s="857">
        <f t="shared" ca="1" si="9"/>
        <v>11.719444444444445</v>
      </c>
      <c r="Z121" s="79"/>
    </row>
    <row r="122" spans="1:26" ht="14.1" customHeight="1" x14ac:dyDescent="0.25">
      <c r="A122" s="79">
        <v>110</v>
      </c>
      <c r="B122" s="1886" t="s">
        <v>1103</v>
      </c>
      <c r="C122" s="1220" t="s">
        <v>1794</v>
      </c>
      <c r="D122" s="2146"/>
      <c r="E122" s="1998"/>
      <c r="F122" s="3782">
        <f t="shared" si="8"/>
        <v>128.27498553595771</v>
      </c>
      <c r="G122" s="106">
        <f>151+205+214+602+186+162+382+154+784</f>
        <v>2840</v>
      </c>
      <c r="H122" s="935"/>
      <c r="I122" s="940">
        <v>80288362</v>
      </c>
      <c r="J122" s="781">
        <v>542501360</v>
      </c>
      <c r="K122" s="781">
        <v>500230467</v>
      </c>
      <c r="L122" s="781">
        <v>321392576</v>
      </c>
      <c r="M122" s="781">
        <v>581642169</v>
      </c>
      <c r="N122" s="781">
        <v>489936086</v>
      </c>
      <c r="O122" s="781">
        <v>365813863</v>
      </c>
      <c r="P122" s="781">
        <v>36812176</v>
      </c>
      <c r="Q122" s="4064">
        <v>202974093</v>
      </c>
      <c r="R122" s="873" t="s">
        <v>80</v>
      </c>
      <c r="S122" s="935" t="s">
        <v>66</v>
      </c>
      <c r="T122" s="2638" t="s">
        <v>2435</v>
      </c>
      <c r="U122" s="2714">
        <v>2</v>
      </c>
      <c r="V122" s="861">
        <v>41998</v>
      </c>
      <c r="W122" s="862" t="s">
        <v>76</v>
      </c>
      <c r="X122" s="4288" t="s">
        <v>745</v>
      </c>
      <c r="Y122" s="857">
        <f t="shared" ca="1" si="9"/>
        <v>2.9861111111111112</v>
      </c>
      <c r="Z122" s="79">
        <v>110</v>
      </c>
    </row>
    <row r="123" spans="1:26" ht="14.1" customHeight="1" x14ac:dyDescent="0.25">
      <c r="A123" s="79"/>
      <c r="B123" s="923" t="s">
        <v>1103</v>
      </c>
      <c r="C123" s="1221" t="s">
        <v>1264</v>
      </c>
      <c r="D123" s="1946"/>
      <c r="E123" s="1999"/>
      <c r="F123" s="3782">
        <f t="shared" si="8"/>
        <v>128.30679873261641</v>
      </c>
      <c r="G123" s="2597">
        <f>18+5+81+49+38+29+14+11+147</f>
        <v>392</v>
      </c>
      <c r="H123" s="115"/>
      <c r="I123" s="883">
        <v>95021017</v>
      </c>
      <c r="J123" s="883">
        <v>357601959</v>
      </c>
      <c r="K123" s="883">
        <v>520764815</v>
      </c>
      <c r="L123" s="883">
        <v>326122831</v>
      </c>
      <c r="M123" s="883">
        <v>574792742</v>
      </c>
      <c r="N123" s="883">
        <v>486796795</v>
      </c>
      <c r="O123" s="883">
        <v>288783661</v>
      </c>
      <c r="P123" s="883">
        <v>44067167</v>
      </c>
      <c r="Q123" s="883">
        <v>264844379</v>
      </c>
      <c r="R123" s="884" t="s">
        <v>68</v>
      </c>
      <c r="S123" s="2836" t="s">
        <v>62</v>
      </c>
      <c r="T123" s="2659" t="s">
        <v>2435</v>
      </c>
      <c r="U123" s="2705">
        <v>4</v>
      </c>
      <c r="V123" s="885">
        <v>40851</v>
      </c>
      <c r="W123" s="118" t="s">
        <v>69</v>
      </c>
      <c r="X123" s="4294" t="s">
        <v>636</v>
      </c>
      <c r="Y123" s="119">
        <f t="shared" ca="1" si="9"/>
        <v>6.1277777777777782</v>
      </c>
      <c r="Z123" s="79"/>
    </row>
    <row r="124" spans="1:26" ht="14.1" customHeight="1" x14ac:dyDescent="0.25">
      <c r="A124" s="79">
        <v>112</v>
      </c>
      <c r="B124" s="3587" t="s">
        <v>1685</v>
      </c>
      <c r="C124" s="3538" t="s">
        <v>1663</v>
      </c>
      <c r="D124" s="3982"/>
      <c r="E124" s="2003" t="s">
        <v>2130</v>
      </c>
      <c r="F124" s="3782">
        <f t="shared" si="8"/>
        <v>128.32862885322857</v>
      </c>
      <c r="G124" s="2561"/>
      <c r="H124" s="2561"/>
      <c r="I124" s="802">
        <v>106488393</v>
      </c>
      <c r="J124" s="895">
        <v>514610218</v>
      </c>
      <c r="K124" s="895">
        <v>482648538</v>
      </c>
      <c r="L124" s="895">
        <v>305387815</v>
      </c>
      <c r="M124" s="895">
        <v>589828182</v>
      </c>
      <c r="N124" s="895">
        <v>486063486</v>
      </c>
      <c r="O124" s="886">
        <v>322682944</v>
      </c>
      <c r="P124" s="895">
        <v>39476848</v>
      </c>
      <c r="Q124" s="895">
        <v>199433478</v>
      </c>
      <c r="R124" s="2562" t="s">
        <v>154</v>
      </c>
      <c r="S124" s="2563" t="s">
        <v>66</v>
      </c>
      <c r="T124" s="3878" t="s">
        <v>2435</v>
      </c>
      <c r="U124" s="2564">
        <v>1</v>
      </c>
      <c r="V124" s="2565">
        <v>38423</v>
      </c>
      <c r="W124" s="2566" t="s">
        <v>71</v>
      </c>
      <c r="X124" s="4319" t="s">
        <v>634</v>
      </c>
      <c r="Y124" s="104">
        <f t="shared" ca="1" si="9"/>
        <v>12.772222222222222</v>
      </c>
      <c r="Z124" s="79">
        <v>112</v>
      </c>
    </row>
    <row r="125" spans="1:26" ht="14.1" customHeight="1" x14ac:dyDescent="0.25">
      <c r="A125" s="79"/>
      <c r="B125" s="3796" t="s">
        <v>1685</v>
      </c>
      <c r="C125" s="3968" t="s">
        <v>2597</v>
      </c>
      <c r="D125" s="1939"/>
      <c r="E125" s="1993" t="s">
        <v>2130</v>
      </c>
      <c r="F125" s="3906">
        <f t="shared" si="8"/>
        <v>128.41490965212682</v>
      </c>
      <c r="G125" s="4002"/>
      <c r="H125" s="4034"/>
      <c r="I125" s="840">
        <v>96421346</v>
      </c>
      <c r="J125" s="780">
        <v>427704915</v>
      </c>
      <c r="K125" s="780">
        <v>473765789</v>
      </c>
      <c r="L125" s="780">
        <v>340795851</v>
      </c>
      <c r="M125" s="780">
        <v>582621787</v>
      </c>
      <c r="N125" s="780">
        <v>484745699</v>
      </c>
      <c r="O125" s="780">
        <v>294683992</v>
      </c>
      <c r="P125" s="780">
        <v>41208512</v>
      </c>
      <c r="Q125" s="780">
        <v>251404151</v>
      </c>
      <c r="R125" s="4078" t="s">
        <v>82</v>
      </c>
      <c r="S125" s="4104" t="s">
        <v>131</v>
      </c>
      <c r="T125" s="2734" t="s">
        <v>2435</v>
      </c>
      <c r="U125" s="4150">
        <v>1</v>
      </c>
      <c r="V125" s="4179">
        <v>35785</v>
      </c>
      <c r="W125" s="4206" t="s">
        <v>73</v>
      </c>
      <c r="X125" s="4320" t="s">
        <v>132</v>
      </c>
      <c r="Y125" s="3666">
        <f t="shared" ca="1" si="9"/>
        <v>19.997222222222224</v>
      </c>
      <c r="Z125" s="79"/>
    </row>
    <row r="126" spans="1:26" ht="14.1" customHeight="1" x14ac:dyDescent="0.2">
      <c r="A126" s="79">
        <v>114</v>
      </c>
      <c r="B126" s="107" t="s">
        <v>1103</v>
      </c>
      <c r="C126" s="3591" t="s">
        <v>1530</v>
      </c>
      <c r="D126" s="1269"/>
      <c r="E126" s="1998"/>
      <c r="F126" s="3782">
        <f t="shared" si="8"/>
        <v>128.42853492255568</v>
      </c>
      <c r="G126" s="3215">
        <f>78+44+166+103+104+51+239+70+138</f>
        <v>993</v>
      </c>
      <c r="H126" s="2484">
        <f>32+33+38+99+23+59+244+42+173</f>
        <v>743</v>
      </c>
      <c r="I126" s="840">
        <v>107598037</v>
      </c>
      <c r="J126" s="780">
        <v>353119941</v>
      </c>
      <c r="K126" s="780">
        <v>499808100</v>
      </c>
      <c r="L126" s="780">
        <v>288191080</v>
      </c>
      <c r="M126" s="780">
        <v>581665614</v>
      </c>
      <c r="N126" s="780">
        <v>466061860</v>
      </c>
      <c r="O126" s="780">
        <v>351596474</v>
      </c>
      <c r="P126" s="780">
        <v>51599189</v>
      </c>
      <c r="Q126" s="780">
        <v>202715769</v>
      </c>
      <c r="R126" s="2217" t="s">
        <v>510</v>
      </c>
      <c r="S126" s="4102" t="s">
        <v>62</v>
      </c>
      <c r="T126" s="3640" t="s">
        <v>2436</v>
      </c>
      <c r="U126" s="4148">
        <v>8</v>
      </c>
      <c r="V126" s="2336">
        <v>41570</v>
      </c>
      <c r="W126" s="2223" t="s">
        <v>76</v>
      </c>
      <c r="X126" s="4321" t="s">
        <v>1531</v>
      </c>
      <c r="Y126" s="113">
        <f t="shared" ca="1" si="9"/>
        <v>4.1583333333333332</v>
      </c>
      <c r="Z126" s="79">
        <v>114</v>
      </c>
    </row>
    <row r="127" spans="1:26" ht="14.1" customHeight="1" x14ac:dyDescent="0.25">
      <c r="A127" s="79"/>
      <c r="B127" s="923" t="s">
        <v>1103</v>
      </c>
      <c r="C127" s="3969" t="s">
        <v>566</v>
      </c>
      <c r="D127" s="1951"/>
      <c r="E127" s="2005"/>
      <c r="F127" s="3782">
        <f t="shared" si="8"/>
        <v>128.44199648630627</v>
      </c>
      <c r="G127" s="1361">
        <f>209+283+292+451+124+62+125+638+190</f>
        <v>2374</v>
      </c>
      <c r="H127" s="924"/>
      <c r="I127" s="882">
        <v>81921732</v>
      </c>
      <c r="J127" s="883">
        <v>541637746</v>
      </c>
      <c r="K127" s="883">
        <v>500544087</v>
      </c>
      <c r="L127" s="883">
        <v>322423957</v>
      </c>
      <c r="M127" s="883">
        <v>581732635</v>
      </c>
      <c r="N127" s="883">
        <v>489874761</v>
      </c>
      <c r="O127" s="883">
        <v>365718716</v>
      </c>
      <c r="P127" s="883">
        <v>37001167</v>
      </c>
      <c r="Q127" s="883">
        <v>202974906</v>
      </c>
      <c r="R127" s="892" t="s">
        <v>564</v>
      </c>
      <c r="S127" s="925" t="s">
        <v>66</v>
      </c>
      <c r="T127" s="2637" t="s">
        <v>2435</v>
      </c>
      <c r="U127" s="926">
        <v>1</v>
      </c>
      <c r="V127" s="893">
        <v>40808</v>
      </c>
      <c r="W127" s="894" t="s">
        <v>74</v>
      </c>
      <c r="X127" s="4322" t="s">
        <v>565</v>
      </c>
      <c r="Y127" s="119">
        <f t="shared" ca="1" si="9"/>
        <v>6.2444444444444445</v>
      </c>
      <c r="Z127" s="79"/>
    </row>
    <row r="128" spans="1:26" ht="14.1" customHeight="1" x14ac:dyDescent="0.2">
      <c r="A128" s="79">
        <v>116</v>
      </c>
      <c r="B128" s="103" t="s">
        <v>1685</v>
      </c>
      <c r="C128" s="1220" t="s">
        <v>1811</v>
      </c>
      <c r="D128" s="1273" t="s">
        <v>40</v>
      </c>
      <c r="E128" s="1998" t="s">
        <v>2130</v>
      </c>
      <c r="F128" s="3782">
        <f t="shared" si="8"/>
        <v>128.53238699539469</v>
      </c>
      <c r="G128" s="1538">
        <f>146.5+162.3+161.7+285+152.6+144.2+217.5+142.7+331.8</f>
        <v>1744.3</v>
      </c>
      <c r="H128" s="1538">
        <f>12.2+62.1+43.2+34.2+23.7+21.5+26.4+46+4.3+34.8</f>
        <v>308.39999999999998</v>
      </c>
      <c r="I128" s="822">
        <v>89174836</v>
      </c>
      <c r="J128" s="886">
        <v>542073444</v>
      </c>
      <c r="K128" s="886">
        <v>499282256</v>
      </c>
      <c r="L128" s="886">
        <v>316127380</v>
      </c>
      <c r="M128" s="886">
        <v>577309560</v>
      </c>
      <c r="N128" s="886">
        <v>487399424</v>
      </c>
      <c r="O128" s="886">
        <v>366198176</v>
      </c>
      <c r="P128" s="886">
        <v>36621412</v>
      </c>
      <c r="Q128" s="886">
        <v>203103192</v>
      </c>
      <c r="R128" s="952" t="s">
        <v>1533</v>
      </c>
      <c r="S128" s="2719" t="s">
        <v>62</v>
      </c>
      <c r="T128" s="2738" t="s">
        <v>2435</v>
      </c>
      <c r="U128" s="2720">
        <v>8</v>
      </c>
      <c r="V128" s="973">
        <v>41994</v>
      </c>
      <c r="W128" s="955" t="s">
        <v>69</v>
      </c>
      <c r="X128" s="4295" t="s">
        <v>1534</v>
      </c>
      <c r="Y128" s="104">
        <f t="shared" ca="1" si="9"/>
        <v>2.9972222222222222</v>
      </c>
      <c r="Z128" s="79">
        <v>116</v>
      </c>
    </row>
    <row r="129" spans="1:26" ht="14.1" customHeight="1" x14ac:dyDescent="0.2">
      <c r="A129" s="79"/>
      <c r="B129" s="98" t="s">
        <v>1685</v>
      </c>
      <c r="C129" s="1218" t="s">
        <v>1532</v>
      </c>
      <c r="D129" s="1269" t="s">
        <v>40</v>
      </c>
      <c r="E129" s="1999" t="s">
        <v>2130</v>
      </c>
      <c r="F129" s="3782">
        <f t="shared" si="8"/>
        <v>128.63081311094115</v>
      </c>
      <c r="G129" s="106">
        <f>175+219+204+365+179+178+271+182+421</f>
        <v>2194</v>
      </c>
      <c r="H129" s="935">
        <f>16+79+53+43+28+27+57+5+43</f>
        <v>351</v>
      </c>
      <c r="I129" s="940">
        <v>89174836</v>
      </c>
      <c r="J129" s="808">
        <v>542073960</v>
      </c>
      <c r="K129" s="781">
        <v>499282256</v>
      </c>
      <c r="L129" s="781">
        <v>316127380</v>
      </c>
      <c r="M129" s="781">
        <v>577309560</v>
      </c>
      <c r="N129" s="781">
        <v>487397416</v>
      </c>
      <c r="O129" s="781">
        <v>366198176</v>
      </c>
      <c r="P129" s="781">
        <v>36621412</v>
      </c>
      <c r="Q129" s="781">
        <v>203103192</v>
      </c>
      <c r="R129" s="3857" t="s">
        <v>1533</v>
      </c>
      <c r="S129" s="2702" t="s">
        <v>62</v>
      </c>
      <c r="T129" s="2638" t="s">
        <v>2435</v>
      </c>
      <c r="U129" s="2714">
        <v>8</v>
      </c>
      <c r="V129" s="875">
        <v>41603</v>
      </c>
      <c r="W129" s="862" t="s">
        <v>69</v>
      </c>
      <c r="X129" s="4288" t="s">
        <v>1534</v>
      </c>
      <c r="Y129" s="119">
        <f t="shared" ca="1" si="9"/>
        <v>4.0694444444444446</v>
      </c>
      <c r="Z129" s="79"/>
    </row>
    <row r="130" spans="1:26" ht="14.1" customHeight="1" x14ac:dyDescent="0.2">
      <c r="A130" s="79">
        <v>118</v>
      </c>
      <c r="B130" s="3587" t="s">
        <v>1685</v>
      </c>
      <c r="C130" s="3947" t="s">
        <v>1661</v>
      </c>
      <c r="D130" s="1417" t="s">
        <v>40</v>
      </c>
      <c r="E130" s="1998" t="s">
        <v>2130</v>
      </c>
      <c r="F130" s="3782">
        <f t="shared" si="8"/>
        <v>128.66060020234974</v>
      </c>
      <c r="G130" s="3601"/>
      <c r="H130" s="3612"/>
      <c r="I130" s="846">
        <v>105065841</v>
      </c>
      <c r="J130" s="846">
        <v>552136807</v>
      </c>
      <c r="K130" s="846">
        <v>482698369</v>
      </c>
      <c r="L130" s="846">
        <v>299863893</v>
      </c>
      <c r="M130" s="846">
        <v>591019735</v>
      </c>
      <c r="N130" s="846">
        <v>488092322</v>
      </c>
      <c r="O130" s="846">
        <v>339815777</v>
      </c>
      <c r="P130" s="846">
        <v>38169677</v>
      </c>
      <c r="Q130" s="846">
        <v>189600577</v>
      </c>
      <c r="R130" s="3625" t="s">
        <v>164</v>
      </c>
      <c r="S130" s="3631" t="s">
        <v>66</v>
      </c>
      <c r="T130" s="3758" t="s">
        <v>2435</v>
      </c>
      <c r="U130" s="3644">
        <v>1</v>
      </c>
      <c r="V130" s="3653">
        <v>39093</v>
      </c>
      <c r="W130" s="3661" t="s">
        <v>2210</v>
      </c>
      <c r="X130" s="4323" t="s">
        <v>1311</v>
      </c>
      <c r="Y130" s="852">
        <f t="shared" ca="1" si="9"/>
        <v>10.941666666666666</v>
      </c>
      <c r="Z130" s="79">
        <v>118</v>
      </c>
    </row>
    <row r="131" spans="1:26" ht="14.1" customHeight="1" x14ac:dyDescent="0.2">
      <c r="A131" s="79"/>
      <c r="B131" s="915" t="s">
        <v>1103</v>
      </c>
      <c r="C131" s="1225" t="s">
        <v>2233</v>
      </c>
      <c r="D131" s="1269"/>
      <c r="E131" s="1999"/>
      <c r="F131" s="3782">
        <f t="shared" si="8"/>
        <v>128.69295147040575</v>
      </c>
      <c r="G131" s="106">
        <f>310.2+707.7+662.6+870.7+738.8+587.4+817.3+445.3+775.3</f>
        <v>5915.3</v>
      </c>
      <c r="H131" s="935"/>
      <c r="I131" s="808">
        <v>96180348</v>
      </c>
      <c r="J131" s="781">
        <v>402026633</v>
      </c>
      <c r="K131" s="781">
        <v>508649403</v>
      </c>
      <c r="L131" s="781">
        <v>317411912</v>
      </c>
      <c r="M131" s="781">
        <v>574882424</v>
      </c>
      <c r="N131" s="781">
        <v>486240682</v>
      </c>
      <c r="O131" s="781">
        <v>332509647</v>
      </c>
      <c r="P131" s="781">
        <v>40445547</v>
      </c>
      <c r="Q131" s="781">
        <v>222443300</v>
      </c>
      <c r="R131" s="873" t="s">
        <v>353</v>
      </c>
      <c r="S131" s="2702" t="s">
        <v>62</v>
      </c>
      <c r="T131" s="2638" t="s">
        <v>2435</v>
      </c>
      <c r="U131" s="860">
        <v>1</v>
      </c>
      <c r="V131" s="875">
        <v>42072</v>
      </c>
      <c r="W131" s="862" t="s">
        <v>174</v>
      </c>
      <c r="X131" s="4288" t="s">
        <v>1588</v>
      </c>
      <c r="Y131" s="857">
        <f t="shared" ca="1" si="9"/>
        <v>2.7805555555555554</v>
      </c>
      <c r="Z131" s="79"/>
    </row>
    <row r="132" spans="1:26" ht="14.1" customHeight="1" x14ac:dyDescent="0.2">
      <c r="A132" s="79">
        <v>120</v>
      </c>
      <c r="B132" s="908" t="s">
        <v>1685</v>
      </c>
      <c r="C132" s="3810" t="s">
        <v>2095</v>
      </c>
      <c r="D132" s="1269"/>
      <c r="E132" s="1998"/>
      <c r="F132" s="3782">
        <f t="shared" si="8"/>
        <v>128.84932242133664</v>
      </c>
      <c r="G132" s="966">
        <f>1711+159+147+835+225+154+215+959+398</f>
        <v>4803</v>
      </c>
      <c r="H132" s="943"/>
      <c r="I132" s="808">
        <v>81809351</v>
      </c>
      <c r="J132" s="808">
        <v>542495881</v>
      </c>
      <c r="K132" s="808">
        <v>499440771</v>
      </c>
      <c r="L132" s="808">
        <v>314250721</v>
      </c>
      <c r="M132" s="808">
        <v>577174578</v>
      </c>
      <c r="N132" s="808">
        <v>487332477</v>
      </c>
      <c r="O132" s="781">
        <v>366116703</v>
      </c>
      <c r="P132" s="808">
        <v>36537248</v>
      </c>
      <c r="Q132" s="902">
        <v>204425463</v>
      </c>
      <c r="R132" s="877" t="s">
        <v>2094</v>
      </c>
      <c r="S132" s="878" t="s">
        <v>66</v>
      </c>
      <c r="T132" s="2640" t="s">
        <v>2435</v>
      </c>
      <c r="U132" s="2710">
        <v>2</v>
      </c>
      <c r="V132" s="880">
        <v>42472</v>
      </c>
      <c r="W132" s="881" t="s">
        <v>73</v>
      </c>
      <c r="X132" s="4285" t="s">
        <v>150</v>
      </c>
      <c r="Y132" s="852">
        <f t="shared" ca="1" si="9"/>
        <v>1.6888888888888889</v>
      </c>
      <c r="Z132" s="79">
        <v>120</v>
      </c>
    </row>
    <row r="133" spans="1:26" ht="14.1" customHeight="1" x14ac:dyDescent="0.2">
      <c r="A133" s="79"/>
      <c r="B133" s="2145" t="s">
        <v>1685</v>
      </c>
      <c r="C133" s="1854" t="s">
        <v>1848</v>
      </c>
      <c r="D133" s="1948" t="s">
        <v>40</v>
      </c>
      <c r="E133" s="1999" t="s">
        <v>2130</v>
      </c>
      <c r="F133" s="3782">
        <f t="shared" si="8"/>
        <v>128.88721213109622</v>
      </c>
      <c r="G133" s="1506">
        <f>102.921+490.42+448.734+326.502+549.879+435.758+276.212+42.612+233.698</f>
        <v>2906.7359999999999</v>
      </c>
      <c r="H133" s="1304"/>
      <c r="I133" s="941">
        <v>109214034</v>
      </c>
      <c r="J133" s="939">
        <v>531595807</v>
      </c>
      <c r="K133" s="939">
        <v>510267676</v>
      </c>
      <c r="L133" s="939">
        <v>298059453</v>
      </c>
      <c r="M133" s="939">
        <v>591337852</v>
      </c>
      <c r="N133" s="939">
        <v>489742532</v>
      </c>
      <c r="O133" s="843">
        <v>328462349</v>
      </c>
      <c r="P133" s="939">
        <v>39219905</v>
      </c>
      <c r="Q133" s="939">
        <v>170565936</v>
      </c>
      <c r="R133" s="854" t="s">
        <v>1844</v>
      </c>
      <c r="S133" s="2715" t="s">
        <v>62</v>
      </c>
      <c r="T133" s="2739" t="s">
        <v>2435</v>
      </c>
      <c r="U133" s="2141">
        <v>1</v>
      </c>
      <c r="V133" s="855">
        <v>42155</v>
      </c>
      <c r="W133" s="856" t="s">
        <v>1155</v>
      </c>
      <c r="X133" s="4315" t="s">
        <v>1843</v>
      </c>
      <c r="Y133" s="857">
        <f t="shared" ca="1" si="9"/>
        <v>2.5555555555555554</v>
      </c>
      <c r="Z133" s="79"/>
    </row>
    <row r="134" spans="1:26" ht="14.1" customHeight="1" x14ac:dyDescent="0.25">
      <c r="A134" s="79">
        <v>122</v>
      </c>
      <c r="B134" s="3789" t="s">
        <v>1685</v>
      </c>
      <c r="C134" s="3807" t="s">
        <v>1234</v>
      </c>
      <c r="D134" s="3983"/>
      <c r="E134" s="3598" t="s">
        <v>2130</v>
      </c>
      <c r="F134" s="3782">
        <f t="shared" si="8"/>
        <v>128.95516024880845</v>
      </c>
      <c r="G134" s="3835"/>
      <c r="H134" s="3846"/>
      <c r="I134" s="845">
        <v>90373039</v>
      </c>
      <c r="J134" s="846">
        <v>533692540</v>
      </c>
      <c r="K134" s="846">
        <v>476837081</v>
      </c>
      <c r="L134" s="846">
        <v>330228855</v>
      </c>
      <c r="M134" s="846">
        <v>583742981</v>
      </c>
      <c r="N134" s="846">
        <v>484319020</v>
      </c>
      <c r="O134" s="846">
        <v>338880556</v>
      </c>
      <c r="P134" s="846">
        <v>37469753</v>
      </c>
      <c r="Q134" s="846">
        <v>224269866</v>
      </c>
      <c r="R134" s="3623" t="s">
        <v>112</v>
      </c>
      <c r="S134" s="3630" t="s">
        <v>66</v>
      </c>
      <c r="T134" s="3639" t="s">
        <v>2435</v>
      </c>
      <c r="U134" s="3643">
        <v>1</v>
      </c>
      <c r="V134" s="3650">
        <v>39085</v>
      </c>
      <c r="W134" s="3659" t="s">
        <v>71</v>
      </c>
      <c r="X134" s="4324" t="s">
        <v>126</v>
      </c>
      <c r="Y134" s="852">
        <f t="shared" ca="1" si="9"/>
        <v>10.963888888888889</v>
      </c>
      <c r="Z134" s="79">
        <v>122</v>
      </c>
    </row>
    <row r="135" spans="1:26" ht="14.1" customHeight="1" x14ac:dyDescent="0.2">
      <c r="A135" s="79"/>
      <c r="B135" s="908" t="s">
        <v>1685</v>
      </c>
      <c r="C135" s="2149" t="s">
        <v>2351</v>
      </c>
      <c r="D135" s="1269"/>
      <c r="E135" s="1999" t="s">
        <v>2130</v>
      </c>
      <c r="F135" s="3782">
        <f t="shared" si="8"/>
        <v>128.99078259080261</v>
      </c>
      <c r="G135" s="966">
        <f>105.6+338.8+282.5+278.9+388.1+251.2+251.7+47+263.7</f>
        <v>2207.5</v>
      </c>
      <c r="H135" s="943"/>
      <c r="I135" s="944">
        <v>102503336</v>
      </c>
      <c r="J135" s="808">
        <v>544415399</v>
      </c>
      <c r="K135" s="808">
        <v>485682548</v>
      </c>
      <c r="L135" s="808">
        <v>303472075</v>
      </c>
      <c r="M135" s="808">
        <v>582009954</v>
      </c>
      <c r="N135" s="808">
        <v>484643995</v>
      </c>
      <c r="O135" s="781">
        <v>339633842</v>
      </c>
      <c r="P135" s="808">
        <v>37016623</v>
      </c>
      <c r="Q135" s="808">
        <v>197378799</v>
      </c>
      <c r="R135" s="877" t="s">
        <v>2350</v>
      </c>
      <c r="S135" s="2275" t="s">
        <v>66</v>
      </c>
      <c r="T135" s="2644" t="s">
        <v>2435</v>
      </c>
      <c r="U135" s="879">
        <v>1</v>
      </c>
      <c r="V135" s="880">
        <v>41666</v>
      </c>
      <c r="W135" s="881" t="s">
        <v>76</v>
      </c>
      <c r="X135" s="4285" t="s">
        <v>246</v>
      </c>
      <c r="Y135" s="857">
        <f t="shared" ca="1" si="9"/>
        <v>3.8972222222222221</v>
      </c>
      <c r="Z135" s="79"/>
    </row>
    <row r="136" spans="1:26" ht="14.1" customHeight="1" x14ac:dyDescent="0.2">
      <c r="A136" s="79">
        <v>124</v>
      </c>
      <c r="B136" s="908" t="s">
        <v>1685</v>
      </c>
      <c r="C136" s="1225" t="s">
        <v>2108</v>
      </c>
      <c r="D136" s="1269" t="s">
        <v>40</v>
      </c>
      <c r="E136" s="1998"/>
      <c r="F136" s="3782">
        <f t="shared" si="8"/>
        <v>129.02633697683055</v>
      </c>
      <c r="G136" s="966">
        <f>213.55+234.9+436.7+324.3+392.6+265.3+245.7+420.5+224.3+776.7</f>
        <v>3534.55</v>
      </c>
      <c r="H136" s="943"/>
      <c r="I136" s="944">
        <v>88703938</v>
      </c>
      <c r="J136" s="808">
        <v>541662422</v>
      </c>
      <c r="K136" s="808">
        <v>500439430</v>
      </c>
      <c r="L136" s="808">
        <v>312407665</v>
      </c>
      <c r="M136" s="808">
        <v>581550446</v>
      </c>
      <c r="N136" s="808">
        <v>489814582</v>
      </c>
      <c r="O136" s="781">
        <v>365611480</v>
      </c>
      <c r="P136" s="808">
        <v>36101665</v>
      </c>
      <c r="Q136" s="902">
        <v>200110535</v>
      </c>
      <c r="R136" s="877" t="s">
        <v>749</v>
      </c>
      <c r="S136" s="2703" t="s">
        <v>62</v>
      </c>
      <c r="T136" s="2644" t="s">
        <v>2435</v>
      </c>
      <c r="U136" s="2710">
        <v>8</v>
      </c>
      <c r="V136" s="880">
        <v>42523</v>
      </c>
      <c r="W136" s="881" t="s">
        <v>76</v>
      </c>
      <c r="X136" s="4285" t="s">
        <v>150</v>
      </c>
      <c r="Y136" s="852">
        <f t="shared" ca="1" si="9"/>
        <v>1.55</v>
      </c>
      <c r="Z136" s="79">
        <v>124</v>
      </c>
    </row>
    <row r="137" spans="1:26" ht="14.1" customHeight="1" x14ac:dyDescent="0.2">
      <c r="A137" s="79"/>
      <c r="B137" s="2270" t="s">
        <v>1685</v>
      </c>
      <c r="C137" s="1859" t="s">
        <v>2102</v>
      </c>
      <c r="D137" s="1948" t="s">
        <v>40</v>
      </c>
      <c r="E137" s="1999" t="s">
        <v>2130</v>
      </c>
      <c r="F137" s="3782">
        <f t="shared" si="8"/>
        <v>129.05890275561165</v>
      </c>
      <c r="G137" s="1506">
        <f>424+371.9+277.4+390.1+470.1+211+725.8+160+334.9</f>
        <v>3365.2000000000003</v>
      </c>
      <c r="H137" s="1304"/>
      <c r="I137" s="939">
        <v>112752966</v>
      </c>
      <c r="J137" s="939">
        <v>530043934</v>
      </c>
      <c r="K137" s="939">
        <v>500589142</v>
      </c>
      <c r="L137" s="939">
        <v>297800436</v>
      </c>
      <c r="M137" s="939">
        <v>593571318</v>
      </c>
      <c r="N137" s="939">
        <v>489987144</v>
      </c>
      <c r="O137" s="843">
        <v>318380160</v>
      </c>
      <c r="P137" s="939">
        <v>39532202</v>
      </c>
      <c r="Q137" s="1516">
        <v>170200096</v>
      </c>
      <c r="R137" s="1305" t="s">
        <v>2104</v>
      </c>
      <c r="S137" s="2712" t="s">
        <v>62</v>
      </c>
      <c r="T137" s="2652" t="s">
        <v>2435</v>
      </c>
      <c r="U137" s="2732">
        <v>4</v>
      </c>
      <c r="V137" s="1892">
        <v>42521</v>
      </c>
      <c r="W137" s="1306" t="s">
        <v>73</v>
      </c>
      <c r="X137" s="4325" t="s">
        <v>2103</v>
      </c>
      <c r="Y137" s="857">
        <f t="shared" ca="1" si="9"/>
        <v>1.5555555555555556</v>
      </c>
      <c r="Z137" s="79"/>
    </row>
    <row r="138" spans="1:26" ht="14.1" customHeight="1" x14ac:dyDescent="0.2">
      <c r="A138" s="79">
        <v>126</v>
      </c>
      <c r="B138" s="1512" t="s">
        <v>1685</v>
      </c>
      <c r="C138" s="1508" t="s">
        <v>2109</v>
      </c>
      <c r="D138" s="1417" t="s">
        <v>40</v>
      </c>
      <c r="E138" s="1998" t="s">
        <v>2130</v>
      </c>
      <c r="F138" s="3782">
        <f t="shared" si="8"/>
        <v>129.06143507040417</v>
      </c>
      <c r="G138" s="1493">
        <f>368.6+722.8+650.9+1215.9+621.3+515.9+968.9+230.7+1681.5</f>
        <v>6976.5</v>
      </c>
      <c r="H138" s="1411"/>
      <c r="I138" s="947">
        <v>86855629</v>
      </c>
      <c r="J138" s="936">
        <v>538996385</v>
      </c>
      <c r="K138" s="936">
        <v>500157805</v>
      </c>
      <c r="L138" s="936">
        <v>308733722</v>
      </c>
      <c r="M138" s="936">
        <v>578678362</v>
      </c>
      <c r="N138" s="936">
        <v>489758217</v>
      </c>
      <c r="O138" s="846">
        <v>365339156</v>
      </c>
      <c r="P138" s="936">
        <v>35988170</v>
      </c>
      <c r="Q138" s="1694">
        <v>191533668</v>
      </c>
      <c r="R138" s="1352" t="s">
        <v>749</v>
      </c>
      <c r="S138" s="2713" t="s">
        <v>62</v>
      </c>
      <c r="T138" s="2660" t="s">
        <v>2435</v>
      </c>
      <c r="U138" s="2718">
        <v>8</v>
      </c>
      <c r="V138" s="1353">
        <v>42523</v>
      </c>
      <c r="W138" s="1354" t="s">
        <v>76</v>
      </c>
      <c r="X138" s="4314" t="s">
        <v>150</v>
      </c>
      <c r="Y138" s="852">
        <f t="shared" ca="1" si="9"/>
        <v>1.55</v>
      </c>
      <c r="Z138" s="79">
        <v>126</v>
      </c>
    </row>
    <row r="139" spans="1:26" ht="14.1" customHeight="1" x14ac:dyDescent="0.25">
      <c r="A139" s="79"/>
      <c r="B139" s="897" t="s">
        <v>1103</v>
      </c>
      <c r="C139" s="1227" t="s">
        <v>2598</v>
      </c>
      <c r="D139" s="1950"/>
      <c r="E139" s="2001" t="s">
        <v>2130</v>
      </c>
      <c r="F139" s="3782">
        <f t="shared" si="8"/>
        <v>129.08805157754512</v>
      </c>
      <c r="G139" s="929"/>
      <c r="H139" s="930"/>
      <c r="I139" s="940">
        <v>110686632</v>
      </c>
      <c r="J139" s="781">
        <v>537803423</v>
      </c>
      <c r="K139" s="781">
        <v>478051361</v>
      </c>
      <c r="L139" s="781">
        <v>307495411</v>
      </c>
      <c r="M139" s="781">
        <v>596877061</v>
      </c>
      <c r="N139" s="781">
        <v>489208756</v>
      </c>
      <c r="O139" s="781">
        <v>319694127</v>
      </c>
      <c r="P139" s="781">
        <v>38142148</v>
      </c>
      <c r="Q139" s="781">
        <v>195745327</v>
      </c>
      <c r="R139" s="1890" t="s">
        <v>147</v>
      </c>
      <c r="S139" s="1891" t="s">
        <v>66</v>
      </c>
      <c r="T139" s="2654" t="s">
        <v>2435</v>
      </c>
      <c r="U139" s="931">
        <v>1</v>
      </c>
      <c r="V139" s="932">
        <v>38380</v>
      </c>
      <c r="W139" s="933" t="s">
        <v>76</v>
      </c>
      <c r="X139" s="4326" t="s">
        <v>148</v>
      </c>
      <c r="Y139" s="857">
        <f t="shared" ca="1" si="9"/>
        <v>12.894444444444444</v>
      </c>
      <c r="Z139" s="79"/>
    </row>
    <row r="140" spans="1:26" ht="14.1" customHeight="1" x14ac:dyDescent="0.25">
      <c r="A140" s="79">
        <v>128</v>
      </c>
      <c r="B140" s="3587" t="s">
        <v>1685</v>
      </c>
      <c r="C140" s="3947" t="s">
        <v>627</v>
      </c>
      <c r="D140" s="3594"/>
      <c r="E140" s="2003" t="s">
        <v>2130</v>
      </c>
      <c r="F140" s="3782">
        <f t="shared" si="8"/>
        <v>129.32724533759995</v>
      </c>
      <c r="G140" s="3601"/>
      <c r="H140" s="3612"/>
      <c r="I140" s="845">
        <v>111882033</v>
      </c>
      <c r="J140" s="846">
        <v>541403831</v>
      </c>
      <c r="K140" s="846">
        <v>498385630</v>
      </c>
      <c r="L140" s="846">
        <v>305738834</v>
      </c>
      <c r="M140" s="846">
        <v>588307467</v>
      </c>
      <c r="N140" s="846">
        <v>485795961</v>
      </c>
      <c r="O140" s="846">
        <v>324433275</v>
      </c>
      <c r="P140" s="846">
        <v>40260049</v>
      </c>
      <c r="Q140" s="846">
        <v>180487530</v>
      </c>
      <c r="R140" s="4076" t="s">
        <v>160</v>
      </c>
      <c r="S140" s="4103" t="s">
        <v>66</v>
      </c>
      <c r="T140" s="3758" t="s">
        <v>2435</v>
      </c>
      <c r="U140" s="3644">
        <v>1</v>
      </c>
      <c r="V140" s="3653">
        <v>36929</v>
      </c>
      <c r="W140" s="3661" t="s">
        <v>161</v>
      </c>
      <c r="X140" s="4323" t="s">
        <v>92</v>
      </c>
      <c r="Y140" s="852">
        <f t="shared" ca="1" si="9"/>
        <v>16.869444444444444</v>
      </c>
      <c r="Z140" s="79">
        <v>128</v>
      </c>
    </row>
    <row r="141" spans="1:26" ht="14.1" customHeight="1" x14ac:dyDescent="0.25">
      <c r="A141" s="79"/>
      <c r="B141" s="107" t="s">
        <v>1103</v>
      </c>
      <c r="C141" s="1217" t="s">
        <v>1660</v>
      </c>
      <c r="D141" s="1751"/>
      <c r="E141" s="1999"/>
      <c r="F141" s="3782">
        <f t="shared" ref="F141:F204" si="10">SUM(I141/I$11,J141/J$11,K141/K$11,L141/L$11,M141/M$11,N141/N$11,O141/O$11,P141/P$11,Q141/Q$11)/9*100+(G141/5000)+(IF(H141 = 0,G141,H141)/5000)</f>
        <v>129.3334255485392</v>
      </c>
      <c r="G141" s="945"/>
      <c r="H141" s="927"/>
      <c r="I141" s="808">
        <v>114068434</v>
      </c>
      <c r="J141" s="808">
        <v>353119941</v>
      </c>
      <c r="K141" s="808">
        <v>499941562</v>
      </c>
      <c r="L141" s="808">
        <v>287992261</v>
      </c>
      <c r="M141" s="808">
        <v>584523077</v>
      </c>
      <c r="N141" s="808">
        <v>466234013</v>
      </c>
      <c r="O141" s="781">
        <v>351717891</v>
      </c>
      <c r="P141" s="808">
        <v>51958902</v>
      </c>
      <c r="Q141" s="808">
        <v>202715769</v>
      </c>
      <c r="R141" s="873" t="s">
        <v>109</v>
      </c>
      <c r="S141" s="874" t="s">
        <v>66</v>
      </c>
      <c r="T141" s="2635" t="s">
        <v>2435</v>
      </c>
      <c r="U141" s="860">
        <v>1</v>
      </c>
      <c r="V141" s="875">
        <v>39701</v>
      </c>
      <c r="W141" s="862" t="s">
        <v>76</v>
      </c>
      <c r="X141" s="4288" t="s">
        <v>512</v>
      </c>
      <c r="Y141" s="857">
        <f t="shared" ca="1" si="9"/>
        <v>9.2777777777777786</v>
      </c>
      <c r="Z141" s="79"/>
    </row>
    <row r="142" spans="1:26" ht="14.1" customHeight="1" x14ac:dyDescent="0.25">
      <c r="A142" s="79">
        <v>130</v>
      </c>
      <c r="B142" s="915" t="s">
        <v>1103</v>
      </c>
      <c r="C142" s="1217" t="s">
        <v>1585</v>
      </c>
      <c r="D142" s="1270"/>
      <c r="E142" s="1998"/>
      <c r="F142" s="3782">
        <f t="shared" si="10"/>
        <v>129.40005410642226</v>
      </c>
      <c r="G142" s="106">
        <f>120+42+148+93+114+83+309+76+159</f>
        <v>1144</v>
      </c>
      <c r="H142" s="935">
        <f>73+34+38+298+39+72+260+123+170</f>
        <v>1107</v>
      </c>
      <c r="I142" s="808">
        <v>113745713</v>
      </c>
      <c r="J142" s="781">
        <v>353119941</v>
      </c>
      <c r="K142" s="808">
        <v>499808100</v>
      </c>
      <c r="L142" s="808">
        <v>287887660</v>
      </c>
      <c r="M142" s="808">
        <v>583318308</v>
      </c>
      <c r="N142" s="808">
        <v>466050207</v>
      </c>
      <c r="O142" s="781">
        <v>351595430</v>
      </c>
      <c r="P142" s="808">
        <v>51171467</v>
      </c>
      <c r="Q142" s="808">
        <v>202715409</v>
      </c>
      <c r="R142" s="873" t="s">
        <v>510</v>
      </c>
      <c r="S142" s="2702" t="s">
        <v>62</v>
      </c>
      <c r="T142" s="2638" t="s">
        <v>2435</v>
      </c>
      <c r="U142" s="2714">
        <v>8</v>
      </c>
      <c r="V142" s="875">
        <v>41016</v>
      </c>
      <c r="W142" s="862" t="s">
        <v>76</v>
      </c>
      <c r="X142" s="4288" t="s">
        <v>1531</v>
      </c>
      <c r="Y142" s="852">
        <f t="shared" ca="1" si="9"/>
        <v>5.6749999999999998</v>
      </c>
      <c r="Z142" s="79">
        <v>130</v>
      </c>
    </row>
    <row r="143" spans="1:26" ht="14.1" customHeight="1" x14ac:dyDescent="0.25">
      <c r="A143" s="79"/>
      <c r="B143" s="3793" t="s">
        <v>1685</v>
      </c>
      <c r="C143" s="3970" t="s">
        <v>1659</v>
      </c>
      <c r="D143" s="3987"/>
      <c r="E143" s="2001" t="s">
        <v>2130</v>
      </c>
      <c r="F143" s="3782">
        <f t="shared" si="10"/>
        <v>129.47565248946421</v>
      </c>
      <c r="G143" s="3839"/>
      <c r="H143" s="3847"/>
      <c r="I143" s="843">
        <v>108233769</v>
      </c>
      <c r="J143" s="843">
        <v>559661105</v>
      </c>
      <c r="K143" s="843">
        <v>485197621</v>
      </c>
      <c r="L143" s="843">
        <v>304871365</v>
      </c>
      <c r="M143" s="843">
        <v>607113152</v>
      </c>
      <c r="N143" s="843">
        <v>490093603</v>
      </c>
      <c r="O143" s="843">
        <v>337025048</v>
      </c>
      <c r="P143" s="843">
        <v>37014952</v>
      </c>
      <c r="Q143" s="843">
        <v>188392580</v>
      </c>
      <c r="R143" s="3861" t="s">
        <v>94</v>
      </c>
      <c r="S143" s="3872" t="s">
        <v>66</v>
      </c>
      <c r="T143" s="4135" t="s">
        <v>2435</v>
      </c>
      <c r="U143" s="3886">
        <v>1</v>
      </c>
      <c r="V143" s="4189">
        <v>36856</v>
      </c>
      <c r="W143" s="3903" t="s">
        <v>71</v>
      </c>
      <c r="X143" s="4327" t="s">
        <v>95</v>
      </c>
      <c r="Y143" s="857">
        <f t="shared" ca="1" si="9"/>
        <v>17.066666666666666</v>
      </c>
      <c r="Z143" s="79"/>
    </row>
    <row r="144" spans="1:26" ht="14.1" customHeight="1" x14ac:dyDescent="0.2">
      <c r="A144" s="79">
        <v>132</v>
      </c>
      <c r="B144" s="1537" t="s">
        <v>1103</v>
      </c>
      <c r="C144" s="1226" t="s">
        <v>2252</v>
      </c>
      <c r="D144" s="1417"/>
      <c r="E144" s="1998"/>
      <c r="F144" s="3782">
        <f t="shared" si="10"/>
        <v>129.51724184886527</v>
      </c>
      <c r="G144" s="934">
        <f>205+316+319+310+330+241+566+151+260</f>
        <v>2698</v>
      </c>
      <c r="H144" s="1494"/>
      <c r="I144" s="846">
        <v>82645296</v>
      </c>
      <c r="J144" s="846">
        <v>606680942</v>
      </c>
      <c r="K144" s="846">
        <v>499781278</v>
      </c>
      <c r="L144" s="846">
        <v>308482141</v>
      </c>
      <c r="M144" s="846">
        <v>577347120</v>
      </c>
      <c r="N144" s="846">
        <v>487529751</v>
      </c>
      <c r="O144" s="846">
        <v>366031819</v>
      </c>
      <c r="P144" s="846">
        <v>36829715</v>
      </c>
      <c r="Q144" s="846">
        <v>196472264</v>
      </c>
      <c r="R144" s="847" t="s">
        <v>80</v>
      </c>
      <c r="S144" s="1494" t="s">
        <v>66</v>
      </c>
      <c r="T144" s="2651" t="s">
        <v>2435</v>
      </c>
      <c r="U144" s="2716">
        <v>2</v>
      </c>
      <c r="V144" s="850">
        <v>41176</v>
      </c>
      <c r="W144" s="851" t="s">
        <v>76</v>
      </c>
      <c r="X144" s="4313" t="s">
        <v>1084</v>
      </c>
      <c r="Y144" s="852">
        <f t="shared" ca="1" si="9"/>
        <v>5.2388888888888889</v>
      </c>
      <c r="Z144" s="79">
        <v>132</v>
      </c>
    </row>
    <row r="145" spans="1:26" ht="14.1" customHeight="1" x14ac:dyDescent="0.2">
      <c r="A145" s="79"/>
      <c r="B145" s="98" t="s">
        <v>1685</v>
      </c>
      <c r="C145" s="1217" t="s">
        <v>1417</v>
      </c>
      <c r="D145" s="1269"/>
      <c r="E145" s="1999"/>
      <c r="F145" s="3782">
        <f t="shared" si="10"/>
        <v>129.59566908984897</v>
      </c>
      <c r="G145" s="106">
        <f>121+234+216+201+294+226+177+156+190</f>
        <v>1815</v>
      </c>
      <c r="H145" s="935"/>
      <c r="I145" s="781">
        <v>115689544</v>
      </c>
      <c r="J145" s="781">
        <v>406943112</v>
      </c>
      <c r="K145" s="781">
        <v>475629327</v>
      </c>
      <c r="L145" s="781">
        <v>323516471</v>
      </c>
      <c r="M145" s="781">
        <v>586955935</v>
      </c>
      <c r="N145" s="781">
        <v>483626079</v>
      </c>
      <c r="O145" s="781">
        <v>297851879</v>
      </c>
      <c r="P145" s="781">
        <v>53443936</v>
      </c>
      <c r="Q145" s="781">
        <v>175365258</v>
      </c>
      <c r="R145" s="873" t="s">
        <v>128</v>
      </c>
      <c r="S145" s="935" t="s">
        <v>66</v>
      </c>
      <c r="T145" s="2638" t="s">
        <v>2435</v>
      </c>
      <c r="U145" s="860">
        <v>1</v>
      </c>
      <c r="V145" s="875">
        <v>41466</v>
      </c>
      <c r="W145" s="862" t="s">
        <v>98</v>
      </c>
      <c r="X145" s="4288" t="s">
        <v>92</v>
      </c>
      <c r="Y145" s="857">
        <f t="shared" ca="1" si="9"/>
        <v>4.4416666666666664</v>
      </c>
      <c r="Z145" s="79"/>
    </row>
    <row r="146" spans="1:26" ht="14.1" customHeight="1" x14ac:dyDescent="0.25">
      <c r="A146" s="79">
        <v>134</v>
      </c>
      <c r="B146" s="2744" t="s">
        <v>1103</v>
      </c>
      <c r="C146" s="3207" t="s">
        <v>1662</v>
      </c>
      <c r="D146" s="3823"/>
      <c r="E146" s="2006"/>
      <c r="F146" s="3782">
        <f t="shared" si="10"/>
        <v>130.00890879952274</v>
      </c>
      <c r="G146" s="3834">
        <f>191+242+375+549+328+156+234+815+419</f>
        <v>3309</v>
      </c>
      <c r="H146" s="2752"/>
      <c r="I146" s="808">
        <v>93533161</v>
      </c>
      <c r="J146" s="808">
        <v>402349345</v>
      </c>
      <c r="K146" s="808">
        <v>520115641</v>
      </c>
      <c r="L146" s="808">
        <v>341769413</v>
      </c>
      <c r="M146" s="808">
        <v>585010169</v>
      </c>
      <c r="N146" s="808">
        <v>489126332</v>
      </c>
      <c r="O146" s="781">
        <v>300556906</v>
      </c>
      <c r="P146" s="808">
        <v>41761190</v>
      </c>
      <c r="Q146" s="808">
        <v>248471149</v>
      </c>
      <c r="R146" s="2256" t="s">
        <v>140</v>
      </c>
      <c r="S146" s="3870" t="s">
        <v>66</v>
      </c>
      <c r="T146" s="2763" t="s">
        <v>2435</v>
      </c>
      <c r="U146" s="2766">
        <v>1</v>
      </c>
      <c r="V146" s="2257">
        <v>38411</v>
      </c>
      <c r="W146" s="2258" t="s">
        <v>73</v>
      </c>
      <c r="X146" s="4284" t="s">
        <v>730</v>
      </c>
      <c r="Y146" s="2776">
        <f t="shared" ca="1" si="9"/>
        <v>12.805555555555555</v>
      </c>
      <c r="Z146" s="79">
        <v>134</v>
      </c>
    </row>
    <row r="147" spans="1:26" ht="14.1" customHeight="1" x14ac:dyDescent="0.25">
      <c r="A147" s="79"/>
      <c r="B147" s="3670" t="s">
        <v>1103</v>
      </c>
      <c r="C147" s="3591" t="s">
        <v>1262</v>
      </c>
      <c r="D147" s="3822"/>
      <c r="E147" s="2254"/>
      <c r="F147" s="3782">
        <f t="shared" si="10"/>
        <v>130.05952405335108</v>
      </c>
      <c r="G147" s="3833">
        <f>999+4352+4221+2887+4297+3404+2998+595</f>
        <v>23753</v>
      </c>
      <c r="H147" s="2753"/>
      <c r="I147" s="843">
        <v>82086199</v>
      </c>
      <c r="J147" s="843">
        <v>488772424</v>
      </c>
      <c r="K147" s="843">
        <v>475960844</v>
      </c>
      <c r="L147" s="843">
        <v>298548015</v>
      </c>
      <c r="M147" s="843">
        <v>591134831</v>
      </c>
      <c r="N147" s="843">
        <v>491043803</v>
      </c>
      <c r="O147" s="843">
        <v>310841214</v>
      </c>
      <c r="P147" s="843">
        <v>37257475</v>
      </c>
      <c r="Q147" s="843">
        <v>182328204</v>
      </c>
      <c r="R147" s="2759" t="s">
        <v>123</v>
      </c>
      <c r="S147" s="3268" t="s">
        <v>66</v>
      </c>
      <c r="T147" s="3270" t="s">
        <v>2435</v>
      </c>
      <c r="U147" s="3273">
        <v>1</v>
      </c>
      <c r="V147" s="2770">
        <v>37681</v>
      </c>
      <c r="W147" s="2773" t="s">
        <v>1305</v>
      </c>
      <c r="X147" s="4328" t="s">
        <v>632</v>
      </c>
      <c r="Y147" s="857">
        <f t="shared" ca="1" si="9"/>
        <v>14.802777777777777</v>
      </c>
      <c r="Z147" s="79"/>
    </row>
    <row r="148" spans="1:26" ht="14.1" customHeight="1" x14ac:dyDescent="0.25">
      <c r="A148" s="79">
        <v>136</v>
      </c>
      <c r="B148" s="2251" t="s">
        <v>1685</v>
      </c>
      <c r="C148" s="1224" t="s">
        <v>151</v>
      </c>
      <c r="D148" s="3689"/>
      <c r="E148" s="3598" t="s">
        <v>2130</v>
      </c>
      <c r="F148" s="3782">
        <f t="shared" si="10"/>
        <v>130.13018779483977</v>
      </c>
      <c r="G148" s="3602"/>
      <c r="H148" s="3613"/>
      <c r="I148" s="808">
        <v>113572641</v>
      </c>
      <c r="J148" s="808">
        <v>547941949</v>
      </c>
      <c r="K148" s="808">
        <v>499581603</v>
      </c>
      <c r="L148" s="808">
        <v>305213200</v>
      </c>
      <c r="M148" s="808">
        <v>595135649</v>
      </c>
      <c r="N148" s="808">
        <v>490054574</v>
      </c>
      <c r="O148" s="781">
        <v>326389070</v>
      </c>
      <c r="P148" s="808">
        <v>40156755</v>
      </c>
      <c r="Q148" s="808">
        <v>180460007</v>
      </c>
      <c r="R148" s="3624" t="s">
        <v>152</v>
      </c>
      <c r="S148" s="3633" t="s">
        <v>66</v>
      </c>
      <c r="T148" s="2642" t="s">
        <v>2435</v>
      </c>
      <c r="U148" s="3645">
        <v>1</v>
      </c>
      <c r="V148" s="4178">
        <v>38952</v>
      </c>
      <c r="W148" s="3660" t="s">
        <v>71</v>
      </c>
      <c r="X148" s="4317" t="s">
        <v>153</v>
      </c>
      <c r="Y148" s="852">
        <f t="shared" ca="1" si="9"/>
        <v>11.324999999999999</v>
      </c>
      <c r="Z148" s="79">
        <v>136</v>
      </c>
    </row>
    <row r="149" spans="1:26" ht="14.1" customHeight="1" x14ac:dyDescent="0.2">
      <c r="A149" s="79"/>
      <c r="B149" s="2742" t="s">
        <v>1103</v>
      </c>
      <c r="C149" s="1854" t="s">
        <v>750</v>
      </c>
      <c r="D149" s="1948" t="s">
        <v>40</v>
      </c>
      <c r="E149" s="1999" t="s">
        <v>2130</v>
      </c>
      <c r="F149" s="3782">
        <f t="shared" si="10"/>
        <v>130.19892546544938</v>
      </c>
      <c r="G149" s="937">
        <f>325+379+890+831+690+571+707+221+1298</f>
        <v>5912</v>
      </c>
      <c r="H149" s="938">
        <f>12.4+65+82+37+64.4+54.5+47.3+5.2+28.4</f>
        <v>396.2</v>
      </c>
      <c r="I149" s="939">
        <v>90361782</v>
      </c>
      <c r="J149" s="939">
        <v>542419333</v>
      </c>
      <c r="K149" s="939">
        <v>500000209</v>
      </c>
      <c r="L149" s="939">
        <v>316321162</v>
      </c>
      <c r="M149" s="939">
        <v>582134631</v>
      </c>
      <c r="N149" s="939">
        <v>489939093</v>
      </c>
      <c r="O149" s="843">
        <v>367325538</v>
      </c>
      <c r="P149" s="939">
        <v>36824254</v>
      </c>
      <c r="Q149" s="939">
        <v>206805927</v>
      </c>
      <c r="R149" s="854" t="s">
        <v>749</v>
      </c>
      <c r="S149" s="2105" t="s">
        <v>66</v>
      </c>
      <c r="T149" s="2739" t="s">
        <v>2435</v>
      </c>
      <c r="U149" s="4162">
        <v>2</v>
      </c>
      <c r="V149" s="855">
        <v>40447</v>
      </c>
      <c r="W149" s="3902" t="s">
        <v>106</v>
      </c>
      <c r="X149" s="4315" t="s">
        <v>150</v>
      </c>
      <c r="Y149" s="857">
        <f t="shared" ca="1" si="9"/>
        <v>7.2333333333333334</v>
      </c>
      <c r="Z149" s="79"/>
    </row>
    <row r="150" spans="1:26" ht="14.1" customHeight="1" x14ac:dyDescent="0.25">
      <c r="A150" s="79">
        <v>138</v>
      </c>
      <c r="B150" s="1513" t="s">
        <v>1685</v>
      </c>
      <c r="C150" s="1508" t="s">
        <v>1265</v>
      </c>
      <c r="D150" s="2504"/>
      <c r="E150" s="2002" t="s">
        <v>2130</v>
      </c>
      <c r="F150" s="3782">
        <f t="shared" si="10"/>
        <v>130.31493018982724</v>
      </c>
      <c r="G150" s="2246"/>
      <c r="H150" s="1411"/>
      <c r="I150" s="846">
        <v>115809668</v>
      </c>
      <c r="J150" s="846">
        <v>541800959</v>
      </c>
      <c r="K150" s="846">
        <v>496664847</v>
      </c>
      <c r="L150" s="846">
        <v>306068242</v>
      </c>
      <c r="M150" s="846">
        <v>591972098</v>
      </c>
      <c r="N150" s="846">
        <v>486794888</v>
      </c>
      <c r="O150" s="846">
        <v>326725230</v>
      </c>
      <c r="P150" s="846">
        <v>41197626</v>
      </c>
      <c r="Q150" s="846">
        <v>178185035</v>
      </c>
      <c r="R150" s="1352" t="s">
        <v>159</v>
      </c>
      <c r="S150" s="1670" t="s">
        <v>66</v>
      </c>
      <c r="T150" s="2647" t="s">
        <v>2435</v>
      </c>
      <c r="U150" s="1421">
        <v>1</v>
      </c>
      <c r="V150" s="1353">
        <v>39168</v>
      </c>
      <c r="W150" s="1354" t="s">
        <v>76</v>
      </c>
      <c r="X150" s="4314" t="s">
        <v>1315</v>
      </c>
      <c r="Y150" s="852">
        <f t="shared" ca="1" si="9"/>
        <v>10.730555555555556</v>
      </c>
      <c r="Z150" s="79">
        <v>138</v>
      </c>
    </row>
    <row r="151" spans="1:26" ht="14.1" customHeight="1" x14ac:dyDescent="0.2">
      <c r="A151" s="79"/>
      <c r="B151" s="908" t="s">
        <v>1685</v>
      </c>
      <c r="C151" s="1225" t="s">
        <v>1809</v>
      </c>
      <c r="D151" s="1269" t="s">
        <v>40</v>
      </c>
      <c r="E151" s="1999"/>
      <c r="F151" s="3782">
        <f t="shared" si="10"/>
        <v>130.41775134416133</v>
      </c>
      <c r="G151" s="966">
        <f>1308+1068+681+2525+951+663+1027+1644+538</f>
        <v>10405</v>
      </c>
      <c r="H151" s="943"/>
      <c r="I151" s="808">
        <v>88884166</v>
      </c>
      <c r="J151" s="808">
        <v>528950524</v>
      </c>
      <c r="K151" s="808">
        <v>495594431</v>
      </c>
      <c r="L151" s="808">
        <v>310270236</v>
      </c>
      <c r="M151" s="808">
        <v>573257031</v>
      </c>
      <c r="N151" s="808">
        <v>485522129</v>
      </c>
      <c r="O151" s="781">
        <v>357793035</v>
      </c>
      <c r="P151" s="808">
        <v>37325895</v>
      </c>
      <c r="Q151" s="808">
        <v>192771132</v>
      </c>
      <c r="R151" s="877" t="s">
        <v>536</v>
      </c>
      <c r="S151" s="2703" t="s">
        <v>62</v>
      </c>
      <c r="T151" s="2644" t="s">
        <v>2435</v>
      </c>
      <c r="U151" s="2710">
        <v>8</v>
      </c>
      <c r="V151" s="880">
        <v>40892</v>
      </c>
      <c r="W151" s="881" t="s">
        <v>537</v>
      </c>
      <c r="X151" s="4285" t="s">
        <v>712</v>
      </c>
      <c r="Y151" s="857">
        <f t="shared" ca="1" si="9"/>
        <v>6.0138888888888893</v>
      </c>
      <c r="Z151" s="79"/>
    </row>
    <row r="152" spans="1:26" ht="14.1" customHeight="1" x14ac:dyDescent="0.2">
      <c r="A152" s="79">
        <v>140</v>
      </c>
      <c r="B152" s="897" t="s">
        <v>1103</v>
      </c>
      <c r="C152" s="1225" t="s">
        <v>1798</v>
      </c>
      <c r="D152" s="1269"/>
      <c r="E152" s="1998"/>
      <c r="F152" s="3782">
        <f t="shared" si="10"/>
        <v>130.45523386831516</v>
      </c>
      <c r="G152" s="966">
        <f>335+508+561+558+646+499+573+408+545</f>
        <v>4633</v>
      </c>
      <c r="H152" s="943"/>
      <c r="I152" s="781">
        <v>96247499</v>
      </c>
      <c r="J152" s="781">
        <v>411977387</v>
      </c>
      <c r="K152" s="781">
        <v>508783800</v>
      </c>
      <c r="L152" s="781">
        <v>322958496</v>
      </c>
      <c r="M152" s="781">
        <v>575098711</v>
      </c>
      <c r="N152" s="781">
        <v>486590439</v>
      </c>
      <c r="O152" s="781">
        <v>360627081</v>
      </c>
      <c r="P152" s="781">
        <v>41025274</v>
      </c>
      <c r="Q152" s="3853">
        <v>226116223</v>
      </c>
      <c r="R152" s="877" t="s">
        <v>353</v>
      </c>
      <c r="S152" s="2703" t="s">
        <v>62</v>
      </c>
      <c r="T152" s="2644" t="s">
        <v>2435</v>
      </c>
      <c r="U152" s="879">
        <v>1</v>
      </c>
      <c r="V152" s="880">
        <v>42031</v>
      </c>
      <c r="W152" s="881" t="s">
        <v>174</v>
      </c>
      <c r="X152" s="4285" t="s">
        <v>1588</v>
      </c>
      <c r="Y152" s="852">
        <f t="shared" ca="1" si="9"/>
        <v>2.8972222222222221</v>
      </c>
      <c r="Z152" s="79">
        <v>140</v>
      </c>
    </row>
    <row r="153" spans="1:26" ht="14.1" customHeight="1" x14ac:dyDescent="0.2">
      <c r="A153" s="79"/>
      <c r="B153" s="2270" t="s">
        <v>1685</v>
      </c>
      <c r="C153" s="2817" t="s">
        <v>2352</v>
      </c>
      <c r="D153" s="1948"/>
      <c r="E153" s="1999" t="s">
        <v>2130</v>
      </c>
      <c r="F153" s="3782">
        <f t="shared" si="10"/>
        <v>130.67039675294234</v>
      </c>
      <c r="G153" s="1506">
        <f>93.8+246.5+225.3+203.2+230.9+183.4+220+44.1+253.3</f>
        <v>1700.4999999999998</v>
      </c>
      <c r="H153" s="1304"/>
      <c r="I153" s="939">
        <v>105303742</v>
      </c>
      <c r="J153" s="939">
        <v>544556265</v>
      </c>
      <c r="K153" s="939">
        <v>487278434</v>
      </c>
      <c r="L153" s="939">
        <v>306750983</v>
      </c>
      <c r="M153" s="939">
        <v>584152077</v>
      </c>
      <c r="N153" s="939">
        <v>484999053</v>
      </c>
      <c r="O153" s="843">
        <v>344985525</v>
      </c>
      <c r="P153" s="939">
        <v>37340443</v>
      </c>
      <c r="Q153" s="939">
        <v>208132151</v>
      </c>
      <c r="R153" s="1305" t="s">
        <v>2398</v>
      </c>
      <c r="S153" s="3868" t="s">
        <v>66</v>
      </c>
      <c r="T153" s="2652" t="s">
        <v>2435</v>
      </c>
      <c r="U153" s="1425">
        <v>1</v>
      </c>
      <c r="V153" s="1892">
        <v>41753</v>
      </c>
      <c r="W153" s="1306" t="s">
        <v>76</v>
      </c>
      <c r="X153" s="4325" t="s">
        <v>246</v>
      </c>
      <c r="Y153" s="857">
        <f t="shared" ca="1" si="9"/>
        <v>3.6555555555555554</v>
      </c>
      <c r="Z153" s="79"/>
    </row>
    <row r="154" spans="1:26" ht="14.1" customHeight="1" x14ac:dyDescent="0.2">
      <c r="A154" s="79">
        <v>142</v>
      </c>
      <c r="B154" s="844" t="s">
        <v>1685</v>
      </c>
      <c r="C154" s="1508" t="s">
        <v>1776</v>
      </c>
      <c r="D154" s="1417"/>
      <c r="E154" s="1998"/>
      <c r="F154" s="3782">
        <f t="shared" si="10"/>
        <v>130.70471168839811</v>
      </c>
      <c r="G154" s="934">
        <f>323.42+512.28+559.36+558+601.17+478.85+594.4+386.04+486.2</f>
        <v>4499.72</v>
      </c>
      <c r="H154" s="1494"/>
      <c r="I154" s="846">
        <v>96777116</v>
      </c>
      <c r="J154" s="846">
        <v>411276191</v>
      </c>
      <c r="K154" s="846">
        <v>508911559</v>
      </c>
      <c r="L154" s="846">
        <v>327640665</v>
      </c>
      <c r="M154" s="846">
        <v>575175667</v>
      </c>
      <c r="N154" s="846">
        <v>486580713</v>
      </c>
      <c r="O154" s="846">
        <v>360904616</v>
      </c>
      <c r="P154" s="846">
        <v>41020603</v>
      </c>
      <c r="Q154" s="846">
        <v>226488314</v>
      </c>
      <c r="R154" s="847" t="s">
        <v>353</v>
      </c>
      <c r="S154" s="2717" t="s">
        <v>62</v>
      </c>
      <c r="T154" s="2651" t="s">
        <v>2435</v>
      </c>
      <c r="U154" s="849">
        <v>1</v>
      </c>
      <c r="V154" s="850">
        <v>41962</v>
      </c>
      <c r="W154" s="851" t="s">
        <v>98</v>
      </c>
      <c r="X154" s="4313" t="s">
        <v>1588</v>
      </c>
      <c r="Y154" s="852">
        <f t="shared" ca="1" si="9"/>
        <v>3.0861111111111112</v>
      </c>
      <c r="Z154" s="79">
        <v>142</v>
      </c>
    </row>
    <row r="155" spans="1:26" ht="14.1" customHeight="1" x14ac:dyDescent="0.25">
      <c r="A155" s="79"/>
      <c r="B155" s="901" t="s">
        <v>1685</v>
      </c>
      <c r="C155" s="3501" t="s">
        <v>1266</v>
      </c>
      <c r="D155" s="1952"/>
      <c r="E155" s="2005" t="s">
        <v>2130</v>
      </c>
      <c r="F155" s="3782">
        <f t="shared" si="10"/>
        <v>130.91419832927514</v>
      </c>
      <c r="G155" s="942"/>
      <c r="H155" s="943"/>
      <c r="I155" s="781">
        <v>116097070</v>
      </c>
      <c r="J155" s="781">
        <v>540862071</v>
      </c>
      <c r="K155" s="781">
        <v>485630231</v>
      </c>
      <c r="L155" s="808">
        <v>308767288</v>
      </c>
      <c r="M155" s="808">
        <v>591173241</v>
      </c>
      <c r="N155" s="808">
        <v>486368507</v>
      </c>
      <c r="O155" s="781">
        <v>324381207</v>
      </c>
      <c r="P155" s="808">
        <v>41294540</v>
      </c>
      <c r="Q155" s="808">
        <v>188852254</v>
      </c>
      <c r="R155" s="877" t="s">
        <v>159</v>
      </c>
      <c r="S155" s="878" t="s">
        <v>66</v>
      </c>
      <c r="T155" s="2640" t="s">
        <v>2435</v>
      </c>
      <c r="U155" s="879">
        <v>1</v>
      </c>
      <c r="V155" s="880">
        <v>39168</v>
      </c>
      <c r="W155" s="881" t="s">
        <v>76</v>
      </c>
      <c r="X155" s="4285" t="s">
        <v>1313</v>
      </c>
      <c r="Y155" s="857">
        <f t="shared" ca="1" si="9"/>
        <v>10.730555555555556</v>
      </c>
      <c r="Z155" s="79"/>
    </row>
    <row r="156" spans="1:26" ht="14.1" customHeight="1" x14ac:dyDescent="0.25">
      <c r="A156" s="79">
        <v>144</v>
      </c>
      <c r="B156" s="98" t="s">
        <v>1685</v>
      </c>
      <c r="C156" s="1217" t="s">
        <v>1538</v>
      </c>
      <c r="D156" s="1270"/>
      <c r="E156" s="1998" t="s">
        <v>2130</v>
      </c>
      <c r="F156" s="3782">
        <f t="shared" si="10"/>
        <v>131.0024638227662</v>
      </c>
      <c r="G156" s="108">
        <f>225+972+492+820+586+451+473+104+742</f>
        <v>4865</v>
      </c>
      <c r="H156" s="111"/>
      <c r="I156" s="780">
        <v>112710682</v>
      </c>
      <c r="J156" s="780">
        <v>526989975</v>
      </c>
      <c r="K156" s="780">
        <v>488491347</v>
      </c>
      <c r="L156" s="780">
        <v>305793155</v>
      </c>
      <c r="M156" s="780">
        <v>597466988</v>
      </c>
      <c r="N156" s="780">
        <v>491762627</v>
      </c>
      <c r="O156" s="780">
        <v>308917391</v>
      </c>
      <c r="P156" s="780">
        <v>41458908</v>
      </c>
      <c r="Q156" s="780">
        <v>182732499</v>
      </c>
      <c r="R156" s="126" t="s">
        <v>1535</v>
      </c>
      <c r="S156" s="2709" t="s">
        <v>66</v>
      </c>
      <c r="T156" s="2638" t="s">
        <v>2435</v>
      </c>
      <c r="U156" s="2704">
        <v>2</v>
      </c>
      <c r="V156" s="127">
        <v>41610</v>
      </c>
      <c r="W156" s="128" t="s">
        <v>76</v>
      </c>
      <c r="X156" s="4306" t="s">
        <v>1539</v>
      </c>
      <c r="Y156" s="113">
        <f t="shared" ca="1" si="9"/>
        <v>4.05</v>
      </c>
      <c r="Z156" s="79">
        <v>144</v>
      </c>
    </row>
    <row r="157" spans="1:26" ht="14.1" customHeight="1" x14ac:dyDescent="0.2">
      <c r="A157" s="79"/>
      <c r="B157" s="2598" t="s">
        <v>1103</v>
      </c>
      <c r="C157" s="3802" t="s">
        <v>1505</v>
      </c>
      <c r="D157" s="1944" t="s">
        <v>40</v>
      </c>
      <c r="E157" s="1999"/>
      <c r="F157" s="3782">
        <f t="shared" si="10"/>
        <v>131.04933640024527</v>
      </c>
      <c r="G157" s="2597">
        <f>221+288+309+703+265+214+439+205+979</f>
        <v>3623</v>
      </c>
      <c r="H157" s="115"/>
      <c r="I157" s="976">
        <v>90531315</v>
      </c>
      <c r="J157" s="913">
        <v>541418792</v>
      </c>
      <c r="K157" s="913">
        <v>501457181</v>
      </c>
      <c r="L157" s="913">
        <v>319193219</v>
      </c>
      <c r="M157" s="883">
        <v>581862268</v>
      </c>
      <c r="N157" s="883">
        <v>490060333</v>
      </c>
      <c r="O157" s="883">
        <v>366470831</v>
      </c>
      <c r="P157" s="883">
        <v>37296432</v>
      </c>
      <c r="Q157" s="883">
        <v>211635644</v>
      </c>
      <c r="R157" s="884" t="s">
        <v>717</v>
      </c>
      <c r="S157" s="116" t="s">
        <v>66</v>
      </c>
      <c r="T157" s="2641" t="s">
        <v>2435</v>
      </c>
      <c r="U157" s="2705">
        <v>2</v>
      </c>
      <c r="V157" s="885">
        <v>41558</v>
      </c>
      <c r="W157" s="118" t="s">
        <v>76</v>
      </c>
      <c r="X157" s="4329" t="s">
        <v>150</v>
      </c>
      <c r="Y157" s="119">
        <f t="shared" ca="1" si="9"/>
        <v>4.1916666666666664</v>
      </c>
      <c r="Z157" s="79"/>
    </row>
    <row r="158" spans="1:26" ht="14.1" customHeight="1" x14ac:dyDescent="0.2">
      <c r="A158" s="79">
        <v>146</v>
      </c>
      <c r="B158" s="103" t="s">
        <v>1685</v>
      </c>
      <c r="C158" s="1229" t="s">
        <v>1810</v>
      </c>
      <c r="D158" s="1273" t="s">
        <v>40</v>
      </c>
      <c r="E158" s="1998"/>
      <c r="F158" s="3782">
        <f t="shared" si="10"/>
        <v>131.4728729889238</v>
      </c>
      <c r="G158" s="1538">
        <f>811.8+784.3+794.1+1753.3+576.4+459.3+1274.9+554.3+3175.3</f>
        <v>10183.700000000001</v>
      </c>
      <c r="H158" s="951"/>
      <c r="I158" s="822">
        <v>89969167</v>
      </c>
      <c r="J158" s="886">
        <v>534168860</v>
      </c>
      <c r="K158" s="886">
        <v>497535665</v>
      </c>
      <c r="L158" s="886">
        <v>310105764</v>
      </c>
      <c r="M158" s="886">
        <v>573090026</v>
      </c>
      <c r="N158" s="886">
        <v>485470160</v>
      </c>
      <c r="O158" s="886">
        <v>367912948</v>
      </c>
      <c r="P158" s="886">
        <v>37612405</v>
      </c>
      <c r="Q158" s="886">
        <v>195661008</v>
      </c>
      <c r="R158" s="952" t="s">
        <v>536</v>
      </c>
      <c r="S158" s="2719" t="s">
        <v>62</v>
      </c>
      <c r="T158" s="2738" t="s">
        <v>2435</v>
      </c>
      <c r="U158" s="2720">
        <v>8</v>
      </c>
      <c r="V158" s="973">
        <v>42056</v>
      </c>
      <c r="W158" s="955" t="s">
        <v>537</v>
      </c>
      <c r="X158" s="4295" t="s">
        <v>712</v>
      </c>
      <c r="Y158" s="104">
        <f t="shared" ca="1" si="9"/>
        <v>2.8305555555555557</v>
      </c>
      <c r="Z158" s="79">
        <v>146</v>
      </c>
    </row>
    <row r="159" spans="1:26" ht="14.1" customHeight="1" x14ac:dyDescent="0.2">
      <c r="A159" s="79"/>
      <c r="B159" s="2251" t="s">
        <v>1685</v>
      </c>
      <c r="C159" s="1222" t="s">
        <v>1799</v>
      </c>
      <c r="D159" s="1269" t="s">
        <v>40</v>
      </c>
      <c r="E159" s="1999"/>
      <c r="F159" s="3782">
        <f t="shared" si="10"/>
        <v>131.55875910644804</v>
      </c>
      <c r="G159" s="108">
        <f>1165+559+581+1144+778+373+1246+2536</f>
        <v>8382</v>
      </c>
      <c r="H159" s="111"/>
      <c r="I159" s="840">
        <v>83573871</v>
      </c>
      <c r="J159" s="780">
        <v>539201766</v>
      </c>
      <c r="K159" s="780">
        <v>498443090</v>
      </c>
      <c r="L159" s="780">
        <v>322133924</v>
      </c>
      <c r="M159" s="780">
        <v>576082204</v>
      </c>
      <c r="N159" s="780">
        <v>485779800</v>
      </c>
      <c r="O159" s="780">
        <v>370787767</v>
      </c>
      <c r="P159" s="780">
        <v>37993261</v>
      </c>
      <c r="Q159" s="780">
        <v>206101576</v>
      </c>
      <c r="R159" s="3736" t="s">
        <v>80</v>
      </c>
      <c r="S159" s="2709" t="s">
        <v>62</v>
      </c>
      <c r="T159" s="2638" t="s">
        <v>2435</v>
      </c>
      <c r="U159" s="2704">
        <v>8</v>
      </c>
      <c r="V159" s="3767">
        <v>42035</v>
      </c>
      <c r="W159" s="3773" t="s">
        <v>537</v>
      </c>
      <c r="X159" s="4330" t="s">
        <v>712</v>
      </c>
      <c r="Y159" s="113">
        <f t="shared" ca="1" si="9"/>
        <v>2.8888888888888888</v>
      </c>
      <c r="Z159" s="79"/>
    </row>
    <row r="160" spans="1:26" ht="14.1" customHeight="1" x14ac:dyDescent="0.25">
      <c r="A160" s="79">
        <v>148</v>
      </c>
      <c r="B160" s="901" t="s">
        <v>1685</v>
      </c>
      <c r="C160" s="1222" t="s">
        <v>617</v>
      </c>
      <c r="D160" s="1947"/>
      <c r="E160" s="2004"/>
      <c r="F160" s="3782">
        <f t="shared" si="10"/>
        <v>131.59025775463206</v>
      </c>
      <c r="G160" s="1419">
        <f>354+269+399+446+335+320+421+372+567</f>
        <v>3483</v>
      </c>
      <c r="H160" s="958"/>
      <c r="I160" s="840">
        <v>109050502</v>
      </c>
      <c r="J160" s="837">
        <v>396021787</v>
      </c>
      <c r="K160" s="837">
        <v>478872414</v>
      </c>
      <c r="L160" s="780">
        <v>322437857</v>
      </c>
      <c r="M160" s="780">
        <v>580831147</v>
      </c>
      <c r="N160" s="780">
        <v>483988300</v>
      </c>
      <c r="O160" s="780">
        <v>325952081</v>
      </c>
      <c r="P160" s="780">
        <v>54653845</v>
      </c>
      <c r="Q160" s="780">
        <v>191082735</v>
      </c>
      <c r="R160" s="959" t="s">
        <v>189</v>
      </c>
      <c r="S160" s="960" t="s">
        <v>66</v>
      </c>
      <c r="T160" s="2645" t="s">
        <v>2435</v>
      </c>
      <c r="U160" s="961">
        <v>1</v>
      </c>
      <c r="V160" s="962">
        <v>39618</v>
      </c>
      <c r="W160" s="963" t="s">
        <v>71</v>
      </c>
      <c r="X160" s="4331" t="s">
        <v>1312</v>
      </c>
      <c r="Y160" s="113">
        <f t="shared" ca="1" si="9"/>
        <v>9.5027777777777782</v>
      </c>
      <c r="Z160" s="79">
        <v>148</v>
      </c>
    </row>
    <row r="161" spans="1:26" ht="14.1" customHeight="1" x14ac:dyDescent="0.25">
      <c r="A161" s="79"/>
      <c r="B161" s="949" t="s">
        <v>1685</v>
      </c>
      <c r="C161" s="1496" t="s">
        <v>1657</v>
      </c>
      <c r="D161" s="3596"/>
      <c r="E161" s="2000" t="s">
        <v>2130</v>
      </c>
      <c r="F161" s="3782">
        <f t="shared" si="10"/>
        <v>131.63163661605176</v>
      </c>
      <c r="G161" s="1491"/>
      <c r="H161" s="1491"/>
      <c r="I161" s="976">
        <v>119353441</v>
      </c>
      <c r="J161" s="913">
        <v>543052963</v>
      </c>
      <c r="K161" s="913">
        <v>482277855</v>
      </c>
      <c r="L161" s="913">
        <v>308911519</v>
      </c>
      <c r="M161" s="913">
        <v>601489992</v>
      </c>
      <c r="N161" s="913">
        <v>490448245</v>
      </c>
      <c r="O161" s="883">
        <v>321867467</v>
      </c>
      <c r="P161" s="913">
        <v>39994251</v>
      </c>
      <c r="Q161" s="913">
        <v>194413052</v>
      </c>
      <c r="R161" s="2291" t="s">
        <v>175</v>
      </c>
      <c r="S161" s="2293" t="s">
        <v>66</v>
      </c>
      <c r="T161" s="2650" t="s">
        <v>2435</v>
      </c>
      <c r="U161" s="2295">
        <v>1</v>
      </c>
      <c r="V161" s="2297">
        <v>37521</v>
      </c>
      <c r="W161" s="2299" t="s">
        <v>71</v>
      </c>
      <c r="X161" s="4332" t="s">
        <v>153</v>
      </c>
      <c r="Y161" s="119">
        <f t="shared" ca="1" si="9"/>
        <v>15.244444444444444</v>
      </c>
      <c r="Z161" s="79"/>
    </row>
    <row r="162" spans="1:26" ht="14.1" customHeight="1" x14ac:dyDescent="0.25">
      <c r="A162" s="79">
        <v>150</v>
      </c>
      <c r="B162" s="889" t="s">
        <v>1685</v>
      </c>
      <c r="C162" s="3684" t="s">
        <v>176</v>
      </c>
      <c r="D162" s="3694"/>
      <c r="E162" s="2004" t="s">
        <v>2130</v>
      </c>
      <c r="F162" s="3782">
        <f t="shared" si="10"/>
        <v>131.80592347444485</v>
      </c>
      <c r="G162" s="922"/>
      <c r="H162" s="922"/>
      <c r="I162" s="822">
        <v>115630396</v>
      </c>
      <c r="J162" s="886">
        <v>542509538</v>
      </c>
      <c r="K162" s="886">
        <v>477088827</v>
      </c>
      <c r="L162" s="886">
        <v>309751586</v>
      </c>
      <c r="M162" s="886">
        <v>593767607</v>
      </c>
      <c r="N162" s="886">
        <v>488747044</v>
      </c>
      <c r="O162" s="886">
        <v>321144028</v>
      </c>
      <c r="P162" s="886">
        <v>42873280</v>
      </c>
      <c r="Q162" s="886">
        <v>195580747</v>
      </c>
      <c r="R162" s="4077" t="s">
        <v>152</v>
      </c>
      <c r="S162" s="2748" t="s">
        <v>66</v>
      </c>
      <c r="T162" s="3879" t="s">
        <v>2435</v>
      </c>
      <c r="U162" s="1413">
        <v>1</v>
      </c>
      <c r="V162" s="3894">
        <v>38998</v>
      </c>
      <c r="W162" s="1414" t="s">
        <v>71</v>
      </c>
      <c r="X162" s="4311" t="s">
        <v>153</v>
      </c>
      <c r="Y162" s="104">
        <f t="shared" ca="1" si="9"/>
        <v>11.2</v>
      </c>
      <c r="Z162" s="79">
        <v>150</v>
      </c>
    </row>
    <row r="163" spans="1:26" ht="14.1" customHeight="1" x14ac:dyDescent="0.25">
      <c r="A163" s="79"/>
      <c r="B163" s="2244" t="s">
        <v>1103</v>
      </c>
      <c r="C163" s="1222" t="s">
        <v>1268</v>
      </c>
      <c r="D163" s="3688"/>
      <c r="E163" s="1997"/>
      <c r="F163" s="3782">
        <f t="shared" si="10"/>
        <v>131.87462525703501</v>
      </c>
      <c r="G163" s="109"/>
      <c r="H163" s="110"/>
      <c r="I163" s="837">
        <v>109487244</v>
      </c>
      <c r="J163" s="837">
        <v>436709530</v>
      </c>
      <c r="K163" s="837">
        <v>483882325</v>
      </c>
      <c r="L163" s="837">
        <v>321416881</v>
      </c>
      <c r="M163" s="837">
        <v>587720438</v>
      </c>
      <c r="N163" s="837">
        <v>486662689</v>
      </c>
      <c r="O163" s="780">
        <v>344731724</v>
      </c>
      <c r="P163" s="837">
        <v>49767293</v>
      </c>
      <c r="Q163" s="837">
        <v>203090900</v>
      </c>
      <c r="R163" s="126" t="s">
        <v>87</v>
      </c>
      <c r="S163" s="125" t="s">
        <v>66</v>
      </c>
      <c r="T163" s="2635" t="s">
        <v>2435</v>
      </c>
      <c r="U163" s="112">
        <v>1</v>
      </c>
      <c r="V163" s="127">
        <v>39814</v>
      </c>
      <c r="W163" s="128" t="s">
        <v>71</v>
      </c>
      <c r="X163" s="4306" t="s">
        <v>637</v>
      </c>
      <c r="Y163" s="113">
        <f t="shared" ca="1" si="9"/>
        <v>8.969444444444445</v>
      </c>
      <c r="Z163" s="79"/>
    </row>
    <row r="164" spans="1:26" ht="14.1" customHeight="1" x14ac:dyDescent="0.25">
      <c r="A164" s="79">
        <v>152</v>
      </c>
      <c r="B164" s="901" t="s">
        <v>1685</v>
      </c>
      <c r="C164" s="1222" t="s">
        <v>2599</v>
      </c>
      <c r="D164" s="3377"/>
      <c r="E164" s="2004" t="s">
        <v>2130</v>
      </c>
      <c r="F164" s="3782">
        <f t="shared" ref="F164:F184" si="11">SUM(I164/I$11,J164/J$11,K164/K$11,L164/L$11,M164/M$11,N164/N$11,O164/O$11,P164/P$11,Q164/Q$11)/9*100+(G164/5000)+(IF(H164 = 0,G164,H164)/5000)</f>
        <v>131.87867518574058</v>
      </c>
      <c r="G164" s="957"/>
      <c r="H164" s="958"/>
      <c r="I164" s="837">
        <v>115922733</v>
      </c>
      <c r="J164" s="837">
        <v>542777545</v>
      </c>
      <c r="K164" s="837">
        <v>479587507</v>
      </c>
      <c r="L164" s="837">
        <v>311868301</v>
      </c>
      <c r="M164" s="837">
        <v>593027830</v>
      </c>
      <c r="N164" s="837">
        <v>485653639</v>
      </c>
      <c r="O164" s="780">
        <v>323092232</v>
      </c>
      <c r="P164" s="837">
        <v>40252099</v>
      </c>
      <c r="Q164" s="837">
        <v>206175132</v>
      </c>
      <c r="R164" s="959" t="s">
        <v>178</v>
      </c>
      <c r="S164" s="960" t="s">
        <v>66</v>
      </c>
      <c r="T164" s="2645" t="s">
        <v>2435</v>
      </c>
      <c r="U164" s="961">
        <v>1</v>
      </c>
      <c r="V164" s="3238">
        <v>37906</v>
      </c>
      <c r="W164" s="963" t="s">
        <v>73</v>
      </c>
      <c r="X164" s="4331" t="s">
        <v>179</v>
      </c>
      <c r="Y164" s="113">
        <f t="shared" ref="Y164:Y184" ca="1" si="12">YEARFRAC(V164,Y$6)</f>
        <v>14.188888888888888</v>
      </c>
      <c r="Z164" s="79">
        <v>152</v>
      </c>
    </row>
    <row r="165" spans="1:26" ht="14.1" customHeight="1" x14ac:dyDescent="0.25">
      <c r="A165" s="79"/>
      <c r="B165" s="3792" t="s">
        <v>1103</v>
      </c>
      <c r="C165" s="3256" t="s">
        <v>1658</v>
      </c>
      <c r="D165" s="2747"/>
      <c r="E165" s="2001"/>
      <c r="F165" s="3782">
        <f t="shared" si="11"/>
        <v>131.88979407869425</v>
      </c>
      <c r="G165" s="3227">
        <f>281+62+409+849+393+347+493+248+1045</f>
        <v>4127</v>
      </c>
      <c r="H165" s="1839"/>
      <c r="I165" s="976">
        <v>95661953</v>
      </c>
      <c r="J165" s="913">
        <v>369832091</v>
      </c>
      <c r="K165" s="913">
        <v>517199086</v>
      </c>
      <c r="L165" s="913">
        <v>336725810</v>
      </c>
      <c r="M165" s="913">
        <v>583950962</v>
      </c>
      <c r="N165" s="913">
        <v>487687694</v>
      </c>
      <c r="O165" s="883">
        <v>366830143</v>
      </c>
      <c r="P165" s="913">
        <v>43625375</v>
      </c>
      <c r="Q165" s="913">
        <v>237630132</v>
      </c>
      <c r="R165" s="2259" t="s">
        <v>84</v>
      </c>
      <c r="S165" s="2260" t="s">
        <v>66</v>
      </c>
      <c r="T165" s="2646" t="s">
        <v>2435</v>
      </c>
      <c r="U165" s="2261">
        <v>1</v>
      </c>
      <c r="V165" s="2262">
        <v>37825</v>
      </c>
      <c r="W165" s="2263" t="s">
        <v>73</v>
      </c>
      <c r="X165" s="4310" t="s">
        <v>641</v>
      </c>
      <c r="Y165" s="119">
        <f t="shared" ca="1" si="12"/>
        <v>14.408333333333333</v>
      </c>
      <c r="Z165" s="79"/>
    </row>
    <row r="166" spans="1:26" ht="14.1" customHeight="1" x14ac:dyDescent="0.25">
      <c r="A166" s="79">
        <v>154</v>
      </c>
      <c r="B166" s="103" t="s">
        <v>1685</v>
      </c>
      <c r="C166" s="2315" t="s">
        <v>1267</v>
      </c>
      <c r="D166" s="2819"/>
      <c r="E166" s="1998" t="s">
        <v>2130</v>
      </c>
      <c r="F166" s="3782">
        <f t="shared" si="11"/>
        <v>131.90692130809961</v>
      </c>
      <c r="G166" s="967"/>
      <c r="H166" s="967"/>
      <c r="I166" s="802">
        <v>113605203</v>
      </c>
      <c r="J166" s="895">
        <v>530686585</v>
      </c>
      <c r="K166" s="895">
        <v>485385486</v>
      </c>
      <c r="L166" s="895">
        <v>306667317</v>
      </c>
      <c r="M166" s="895">
        <v>590126320</v>
      </c>
      <c r="N166" s="895">
        <v>485300139</v>
      </c>
      <c r="O166" s="886">
        <v>331444892</v>
      </c>
      <c r="P166" s="895">
        <v>41160241</v>
      </c>
      <c r="Q166" s="895">
        <v>209600275</v>
      </c>
      <c r="R166" s="121" t="s">
        <v>104</v>
      </c>
      <c r="S166" s="3869" t="s">
        <v>62</v>
      </c>
      <c r="T166" s="2639" t="s">
        <v>2435</v>
      </c>
      <c r="U166" s="122">
        <v>1</v>
      </c>
      <c r="V166" s="123">
        <v>39683</v>
      </c>
      <c r="W166" s="124" t="s">
        <v>63</v>
      </c>
      <c r="X166" s="4308" t="s">
        <v>1411</v>
      </c>
      <c r="Y166" s="104">
        <f t="shared" ca="1" si="12"/>
        <v>9.3249999999999993</v>
      </c>
      <c r="Z166" s="79">
        <v>154</v>
      </c>
    </row>
    <row r="167" spans="1:26" ht="14.1" customHeight="1" x14ac:dyDescent="0.2">
      <c r="A167" s="79"/>
      <c r="B167" s="901" t="s">
        <v>1685</v>
      </c>
      <c r="C167" s="2149" t="s">
        <v>2786</v>
      </c>
      <c r="D167" s="1269" t="s">
        <v>40</v>
      </c>
      <c r="E167" s="1999" t="s">
        <v>2130</v>
      </c>
      <c r="F167" s="3782">
        <f t="shared" si="11"/>
        <v>132.12402428948698</v>
      </c>
      <c r="G167" s="1361">
        <f>263.2+273.7+280.5+850.8+241.4+187.3+680.8+174.3+1184.2</f>
        <v>4136.2</v>
      </c>
      <c r="H167" s="1361">
        <f>27.9+137.9+128.5+197.2+184.7+51.9+29.2+0.8+205.7</f>
        <v>963.8</v>
      </c>
      <c r="I167" s="882">
        <v>94221175</v>
      </c>
      <c r="J167" s="883">
        <v>569785889</v>
      </c>
      <c r="K167" s="883">
        <v>511683728</v>
      </c>
      <c r="L167" s="883">
        <v>311153535</v>
      </c>
      <c r="M167" s="883">
        <v>575369731</v>
      </c>
      <c r="N167" s="883">
        <v>487188450</v>
      </c>
      <c r="O167" s="883">
        <v>393955139</v>
      </c>
      <c r="P167" s="883">
        <v>37889727</v>
      </c>
      <c r="Q167" s="4628">
        <v>197514649</v>
      </c>
      <c r="R167" s="892" t="s">
        <v>1961</v>
      </c>
      <c r="S167" s="2708" t="s">
        <v>62</v>
      </c>
      <c r="T167" s="2637" t="s">
        <v>2435</v>
      </c>
      <c r="U167" s="926">
        <v>1</v>
      </c>
      <c r="V167" s="893">
        <v>43018</v>
      </c>
      <c r="W167" s="894" t="s">
        <v>181</v>
      </c>
      <c r="X167" s="4322" t="s">
        <v>1797</v>
      </c>
      <c r="Y167" s="119">
        <f t="shared" ca="1" si="12"/>
        <v>0.19444444444444445</v>
      </c>
      <c r="Z167" s="79"/>
    </row>
    <row r="168" spans="1:26" ht="14.1" customHeight="1" x14ac:dyDescent="0.2">
      <c r="A168" s="79">
        <v>156</v>
      </c>
      <c r="B168" s="98" t="s">
        <v>1685</v>
      </c>
      <c r="C168" s="1225" t="s">
        <v>743</v>
      </c>
      <c r="D168" s="1269"/>
      <c r="E168" s="1998" t="s">
        <v>2130</v>
      </c>
      <c r="F168" s="3782">
        <f t="shared" si="11"/>
        <v>132.23409890517556</v>
      </c>
      <c r="G168" s="1538">
        <f>1428+2265+1983+1893+1546+1053+4641+505+1795</f>
        <v>17109</v>
      </c>
      <c r="H168" s="1538"/>
      <c r="I168" s="802">
        <v>108106941</v>
      </c>
      <c r="J168" s="895">
        <v>514242745</v>
      </c>
      <c r="K168" s="895">
        <v>479925123</v>
      </c>
      <c r="L168" s="895">
        <v>299022344</v>
      </c>
      <c r="M168" s="895">
        <v>588953967</v>
      </c>
      <c r="N168" s="895">
        <v>485035191</v>
      </c>
      <c r="O168" s="886">
        <v>303250005</v>
      </c>
      <c r="P168" s="895">
        <v>38867037</v>
      </c>
      <c r="Q168" s="2103">
        <v>176930184</v>
      </c>
      <c r="R168" s="952" t="s">
        <v>744</v>
      </c>
      <c r="S168" s="953" t="s">
        <v>66</v>
      </c>
      <c r="T168" s="2738" t="s">
        <v>2435</v>
      </c>
      <c r="U168" s="954">
        <v>1</v>
      </c>
      <c r="V168" s="973">
        <v>38960</v>
      </c>
      <c r="W168" s="955" t="s">
        <v>76</v>
      </c>
      <c r="X168" s="4295" t="s">
        <v>148</v>
      </c>
      <c r="Y168" s="104">
        <f t="shared" ca="1" si="12"/>
        <v>11.305555555555555</v>
      </c>
      <c r="Z168" s="79">
        <v>156</v>
      </c>
    </row>
    <row r="169" spans="1:26" ht="14.1" customHeight="1" x14ac:dyDescent="0.25">
      <c r="A169" s="79"/>
      <c r="B169" s="2244" t="s">
        <v>1103</v>
      </c>
      <c r="C169" s="4624" t="s">
        <v>1269</v>
      </c>
      <c r="D169" s="4625"/>
      <c r="E169" s="1997"/>
      <c r="F169" s="3782">
        <f t="shared" si="11"/>
        <v>132.30125006406348</v>
      </c>
      <c r="G169" s="109"/>
      <c r="H169" s="110"/>
      <c r="I169" s="836">
        <v>110439081</v>
      </c>
      <c r="J169" s="837">
        <v>436709095</v>
      </c>
      <c r="K169" s="837">
        <v>488735879</v>
      </c>
      <c r="L169" s="837">
        <v>321530074</v>
      </c>
      <c r="M169" s="837">
        <v>591545645</v>
      </c>
      <c r="N169" s="837">
        <v>486662941</v>
      </c>
      <c r="O169" s="780">
        <v>346090379</v>
      </c>
      <c r="P169" s="837">
        <v>49775490</v>
      </c>
      <c r="Q169" s="837">
        <v>203090900</v>
      </c>
      <c r="R169" s="126" t="s">
        <v>87</v>
      </c>
      <c r="S169" s="125" t="s">
        <v>66</v>
      </c>
      <c r="T169" s="2638" t="s">
        <v>2435</v>
      </c>
      <c r="U169" s="112">
        <v>1</v>
      </c>
      <c r="V169" s="127">
        <v>39651</v>
      </c>
      <c r="W169" s="128" t="s">
        <v>71</v>
      </c>
      <c r="X169" s="4306" t="s">
        <v>638</v>
      </c>
      <c r="Y169" s="113">
        <f t="shared" ca="1" si="12"/>
        <v>9.4111111111111114</v>
      </c>
      <c r="Z169" s="79"/>
    </row>
    <row r="170" spans="1:26" ht="14.1" customHeight="1" x14ac:dyDescent="0.2">
      <c r="A170" s="79">
        <v>158</v>
      </c>
      <c r="B170" s="889" t="s">
        <v>1685</v>
      </c>
      <c r="C170" s="1220" t="s">
        <v>1574</v>
      </c>
      <c r="D170" s="1273" t="s">
        <v>40</v>
      </c>
      <c r="E170" s="1998" t="s">
        <v>2130</v>
      </c>
      <c r="F170" s="3782">
        <f t="shared" si="11"/>
        <v>132.32602145210197</v>
      </c>
      <c r="G170" s="106">
        <f>562+1182+1169+1519+1226+1011+1719+442+2152</f>
        <v>10982</v>
      </c>
      <c r="H170" s="935"/>
      <c r="I170" s="940">
        <v>103436610</v>
      </c>
      <c r="J170" s="781">
        <v>562984205</v>
      </c>
      <c r="K170" s="781">
        <v>489531813</v>
      </c>
      <c r="L170" s="781">
        <v>296380124</v>
      </c>
      <c r="M170" s="781">
        <v>581170478</v>
      </c>
      <c r="N170" s="781">
        <v>482917722</v>
      </c>
      <c r="O170" s="781">
        <v>346571229</v>
      </c>
      <c r="P170" s="781">
        <v>37057356</v>
      </c>
      <c r="Q170" s="781">
        <v>184851016</v>
      </c>
      <c r="R170" s="859" t="s">
        <v>1218</v>
      </c>
      <c r="S170" s="935" t="s">
        <v>66</v>
      </c>
      <c r="T170" s="2638" t="s">
        <v>2435</v>
      </c>
      <c r="U170" s="860">
        <v>1</v>
      </c>
      <c r="V170" s="861">
        <v>41641</v>
      </c>
      <c r="W170" s="1507" t="s">
        <v>181</v>
      </c>
      <c r="X170" s="4290" t="s">
        <v>246</v>
      </c>
      <c r="Y170" s="1360">
        <f t="shared" ca="1" si="12"/>
        <v>3.9666666666666668</v>
      </c>
      <c r="Z170" s="79">
        <v>158</v>
      </c>
    </row>
    <row r="171" spans="1:26" ht="14.1" customHeight="1" x14ac:dyDescent="0.25">
      <c r="A171" s="79"/>
      <c r="B171" s="915" t="s">
        <v>1103</v>
      </c>
      <c r="C171" s="1225" t="s">
        <v>1199</v>
      </c>
      <c r="D171" s="1949"/>
      <c r="E171" s="2005"/>
      <c r="F171" s="3782">
        <f t="shared" si="11"/>
        <v>132.33523989479011</v>
      </c>
      <c r="G171" s="1506">
        <f>366+378+448+675+254+145+173+742+257</f>
        <v>3438</v>
      </c>
      <c r="H171" s="1304"/>
      <c r="I171" s="941">
        <v>91625148</v>
      </c>
      <c r="J171" s="939">
        <v>541831172</v>
      </c>
      <c r="K171" s="939">
        <v>500777382</v>
      </c>
      <c r="L171" s="939">
        <v>321995902</v>
      </c>
      <c r="M171" s="939">
        <v>584408803</v>
      </c>
      <c r="N171" s="939">
        <v>489807206</v>
      </c>
      <c r="O171" s="843">
        <v>366440403</v>
      </c>
      <c r="P171" s="939">
        <v>39225968</v>
      </c>
      <c r="Q171" s="939">
        <v>215667154</v>
      </c>
      <c r="R171" s="1305" t="s">
        <v>548</v>
      </c>
      <c r="S171" s="1847" t="s">
        <v>66</v>
      </c>
      <c r="T171" s="2661" t="s">
        <v>2435</v>
      </c>
      <c r="U171" s="1425">
        <v>1</v>
      </c>
      <c r="V171" s="4630">
        <v>40458</v>
      </c>
      <c r="W171" s="1306" t="s">
        <v>328</v>
      </c>
      <c r="X171" s="4325" t="s">
        <v>549</v>
      </c>
      <c r="Y171" s="857">
        <f t="shared" ca="1" si="12"/>
        <v>7.2027777777777775</v>
      </c>
      <c r="Z171" s="79"/>
    </row>
    <row r="172" spans="1:26" ht="14.1" customHeight="1" x14ac:dyDescent="0.25">
      <c r="A172" s="79">
        <v>160</v>
      </c>
      <c r="B172" s="1537" t="s">
        <v>1103</v>
      </c>
      <c r="C172" s="2316" t="s">
        <v>1430</v>
      </c>
      <c r="D172" s="2483"/>
      <c r="E172" s="2002"/>
      <c r="F172" s="3782">
        <f t="shared" si="11"/>
        <v>132.40105783650046</v>
      </c>
      <c r="G172" s="2246"/>
      <c r="H172" s="1411"/>
      <c r="I172" s="936">
        <v>123954067</v>
      </c>
      <c r="J172" s="936">
        <v>353118653</v>
      </c>
      <c r="K172" s="936">
        <v>484871726</v>
      </c>
      <c r="L172" s="936">
        <v>323070215</v>
      </c>
      <c r="M172" s="936">
        <v>597005138</v>
      </c>
      <c r="N172" s="936">
        <v>489111257</v>
      </c>
      <c r="O172" s="846">
        <v>345595489</v>
      </c>
      <c r="P172" s="936">
        <v>51207954</v>
      </c>
      <c r="Q172" s="936">
        <v>203200393</v>
      </c>
      <c r="R172" s="1352" t="s">
        <v>109</v>
      </c>
      <c r="S172" s="1670" t="s">
        <v>66</v>
      </c>
      <c r="T172" s="2660" t="s">
        <v>2435</v>
      </c>
      <c r="U172" s="1421">
        <v>1</v>
      </c>
      <c r="V172" s="1353">
        <v>39008</v>
      </c>
      <c r="W172" s="1354" t="s">
        <v>76</v>
      </c>
      <c r="X172" s="4314" t="s">
        <v>110</v>
      </c>
      <c r="Y172" s="852">
        <f t="shared" ca="1" si="12"/>
        <v>11.172222222222222</v>
      </c>
      <c r="Z172" s="79">
        <v>160</v>
      </c>
    </row>
    <row r="173" spans="1:26" ht="14.1" customHeight="1" x14ac:dyDescent="0.2">
      <c r="A173" s="79"/>
      <c r="B173" s="98" t="s">
        <v>1685</v>
      </c>
      <c r="C173" s="1217" t="s">
        <v>1563</v>
      </c>
      <c r="D173" s="1948" t="s">
        <v>40</v>
      </c>
      <c r="E173" s="1999" t="s">
        <v>2130</v>
      </c>
      <c r="F173" s="3782">
        <f t="shared" si="11"/>
        <v>132.41180783008571</v>
      </c>
      <c r="G173" s="106">
        <f>645+1345+1346+1642+1220+1098+1249+364+1960</f>
        <v>10869</v>
      </c>
      <c r="H173" s="927"/>
      <c r="I173" s="940">
        <v>103593603</v>
      </c>
      <c r="J173" s="781">
        <v>563091725</v>
      </c>
      <c r="K173" s="781">
        <v>489903454</v>
      </c>
      <c r="L173" s="781">
        <v>296796060</v>
      </c>
      <c r="M173" s="781">
        <v>581210127</v>
      </c>
      <c r="N173" s="781">
        <v>483008912</v>
      </c>
      <c r="O173" s="781">
        <v>346818917</v>
      </c>
      <c r="P173" s="781">
        <v>37158994</v>
      </c>
      <c r="Q173" s="781">
        <v>185164440</v>
      </c>
      <c r="R173" s="873" t="s">
        <v>1218</v>
      </c>
      <c r="S173" s="874" t="s">
        <v>66</v>
      </c>
      <c r="T173" s="2635" t="s">
        <v>2435</v>
      </c>
      <c r="U173" s="860">
        <v>1</v>
      </c>
      <c r="V173" s="875">
        <v>41621</v>
      </c>
      <c r="W173" s="862" t="s">
        <v>181</v>
      </c>
      <c r="X173" s="4288" t="s">
        <v>246</v>
      </c>
      <c r="Y173" s="857">
        <f t="shared" ca="1" si="12"/>
        <v>4.0194444444444448</v>
      </c>
      <c r="Z173" s="79"/>
    </row>
    <row r="174" spans="1:26" ht="14.1" customHeight="1" x14ac:dyDescent="0.2">
      <c r="A174" s="79">
        <v>162</v>
      </c>
      <c r="B174" s="908" t="s">
        <v>1685</v>
      </c>
      <c r="C174" s="1508" t="s">
        <v>2105</v>
      </c>
      <c r="D174" s="1269" t="s">
        <v>40</v>
      </c>
      <c r="E174" s="1998" t="s">
        <v>2130</v>
      </c>
      <c r="F174" s="3782">
        <f t="shared" si="11"/>
        <v>132.65524799551886</v>
      </c>
      <c r="G174" s="966">
        <f>686.6+424+1474.7+378.3+1245.5+277.3+1004.5+397.3+1605.9+481.4+1036.3+192.8+1411.9+724.2+237.3+157.8+694.5+337.6</f>
        <v>12767.899999999998</v>
      </c>
      <c r="H174" s="943"/>
      <c r="I174" s="944">
        <v>112694880</v>
      </c>
      <c r="J174" s="808">
        <v>528798030</v>
      </c>
      <c r="K174" s="808">
        <v>499823114</v>
      </c>
      <c r="L174" s="808">
        <v>297368342</v>
      </c>
      <c r="M174" s="808">
        <v>592225216</v>
      </c>
      <c r="N174" s="808">
        <v>488854986</v>
      </c>
      <c r="O174" s="781">
        <v>318346918</v>
      </c>
      <c r="P174" s="808">
        <v>39488746</v>
      </c>
      <c r="Q174" s="902">
        <v>170189456</v>
      </c>
      <c r="R174" s="877" t="s">
        <v>2104</v>
      </c>
      <c r="S174" s="2703" t="s">
        <v>62</v>
      </c>
      <c r="T174" s="2644" t="s">
        <v>2435</v>
      </c>
      <c r="U174" s="2710">
        <v>4</v>
      </c>
      <c r="V174" s="880">
        <v>42521</v>
      </c>
      <c r="W174" s="881" t="s">
        <v>73</v>
      </c>
      <c r="X174" s="4285" t="s">
        <v>2103</v>
      </c>
      <c r="Y174" s="852">
        <f t="shared" ca="1" si="12"/>
        <v>1.5555555555555556</v>
      </c>
      <c r="Z174" s="79">
        <v>162</v>
      </c>
    </row>
    <row r="175" spans="1:26" ht="14.1" customHeight="1" x14ac:dyDescent="0.25">
      <c r="A175" s="79"/>
      <c r="B175" s="3937" t="s">
        <v>1103</v>
      </c>
      <c r="C175" s="4623" t="s">
        <v>759</v>
      </c>
      <c r="D175" s="3988"/>
      <c r="E175" s="2000"/>
      <c r="F175" s="3782">
        <f t="shared" si="11"/>
        <v>132.68161846133921</v>
      </c>
      <c r="G175" s="3214"/>
      <c r="H175" s="3220"/>
      <c r="I175" s="941">
        <v>96178107</v>
      </c>
      <c r="J175" s="939">
        <v>541133248</v>
      </c>
      <c r="K175" s="939">
        <v>500962506</v>
      </c>
      <c r="L175" s="939">
        <v>334586086</v>
      </c>
      <c r="M175" s="939">
        <v>585659904</v>
      </c>
      <c r="N175" s="939">
        <v>489996550</v>
      </c>
      <c r="O175" s="843">
        <v>365991876</v>
      </c>
      <c r="P175" s="939">
        <v>40288195</v>
      </c>
      <c r="Q175" s="939">
        <v>216587257</v>
      </c>
      <c r="R175" s="3224" t="s">
        <v>102</v>
      </c>
      <c r="S175" s="3226" t="s">
        <v>66</v>
      </c>
      <c r="T175" s="3230" t="s">
        <v>2435</v>
      </c>
      <c r="U175" s="3232">
        <v>1</v>
      </c>
      <c r="V175" s="4629">
        <v>37622</v>
      </c>
      <c r="W175" s="3240" t="s">
        <v>76</v>
      </c>
      <c r="X175" s="4333" t="s">
        <v>643</v>
      </c>
      <c r="Y175" s="857">
        <f t="shared" ca="1" si="12"/>
        <v>14.969444444444445</v>
      </c>
      <c r="Z175" s="79"/>
    </row>
    <row r="176" spans="1:26" ht="14.1" customHeight="1" x14ac:dyDescent="0.25">
      <c r="A176" s="79">
        <v>164</v>
      </c>
      <c r="B176" s="2286" t="s">
        <v>1103</v>
      </c>
      <c r="C176" s="2362" t="s">
        <v>193</v>
      </c>
      <c r="D176" s="2324"/>
      <c r="E176" s="2004"/>
      <c r="F176" s="3782">
        <f t="shared" si="11"/>
        <v>133.04643579861869</v>
      </c>
      <c r="G176" s="2325"/>
      <c r="H176" s="2326"/>
      <c r="I176" s="947">
        <v>111799089</v>
      </c>
      <c r="J176" s="936">
        <v>557429839</v>
      </c>
      <c r="K176" s="936">
        <v>485751994</v>
      </c>
      <c r="L176" s="936">
        <v>315205871</v>
      </c>
      <c r="M176" s="936">
        <v>596197591</v>
      </c>
      <c r="N176" s="936">
        <v>490123917</v>
      </c>
      <c r="O176" s="846">
        <v>347307421</v>
      </c>
      <c r="P176" s="936">
        <v>39743605</v>
      </c>
      <c r="Q176" s="936">
        <v>206679277</v>
      </c>
      <c r="R176" s="2329" t="s">
        <v>194</v>
      </c>
      <c r="S176" s="2332" t="s">
        <v>66</v>
      </c>
      <c r="T176" s="3378" t="s">
        <v>2435</v>
      </c>
      <c r="U176" s="2334">
        <v>1</v>
      </c>
      <c r="V176" s="3893">
        <v>38057</v>
      </c>
      <c r="W176" s="2338" t="s">
        <v>121</v>
      </c>
      <c r="X176" s="4312" t="s">
        <v>195</v>
      </c>
      <c r="Y176" s="852">
        <f t="shared" ca="1" si="12"/>
        <v>13.775</v>
      </c>
      <c r="Z176" s="79">
        <v>164</v>
      </c>
    </row>
    <row r="177" spans="1:26" ht="14.1" customHeight="1" x14ac:dyDescent="0.25">
      <c r="A177" s="79"/>
      <c r="B177" s="901" t="s">
        <v>1685</v>
      </c>
      <c r="C177" s="1230" t="s">
        <v>1631</v>
      </c>
      <c r="D177" s="1947"/>
      <c r="E177" s="2000" t="s">
        <v>2130</v>
      </c>
      <c r="F177" s="3782">
        <f t="shared" si="11"/>
        <v>133.36653636523553</v>
      </c>
      <c r="G177" s="965"/>
      <c r="H177" s="948"/>
      <c r="I177" s="944">
        <v>115109749</v>
      </c>
      <c r="J177" s="808">
        <v>550112440</v>
      </c>
      <c r="K177" s="808">
        <v>487586241</v>
      </c>
      <c r="L177" s="808">
        <v>315923570</v>
      </c>
      <c r="M177" s="808">
        <v>593459230</v>
      </c>
      <c r="N177" s="808">
        <v>488289367</v>
      </c>
      <c r="O177" s="781">
        <v>331332413</v>
      </c>
      <c r="P177" s="808">
        <v>41531113</v>
      </c>
      <c r="Q177" s="808">
        <v>207696047</v>
      </c>
      <c r="R177" s="903" t="s">
        <v>185</v>
      </c>
      <c r="S177" s="904" t="s">
        <v>66</v>
      </c>
      <c r="T177" s="2645" t="s">
        <v>2435</v>
      </c>
      <c r="U177" s="905">
        <v>1</v>
      </c>
      <c r="V177" s="906">
        <v>36510</v>
      </c>
      <c r="W177" s="907" t="s">
        <v>76</v>
      </c>
      <c r="X177" s="4302" t="s">
        <v>134</v>
      </c>
      <c r="Y177" s="857">
        <f t="shared" ca="1" si="12"/>
        <v>18.011111111111113</v>
      </c>
      <c r="Z177" s="79"/>
    </row>
    <row r="178" spans="1:26" ht="14.1" customHeight="1" x14ac:dyDescent="0.25">
      <c r="A178" s="79">
        <v>166</v>
      </c>
      <c r="B178" s="1513" t="s">
        <v>1685</v>
      </c>
      <c r="C178" s="1217" t="s">
        <v>2602</v>
      </c>
      <c r="D178" s="1693"/>
      <c r="E178" s="1998" t="s">
        <v>2130</v>
      </c>
      <c r="F178" s="3782">
        <f t="shared" si="11"/>
        <v>133.68035820608085</v>
      </c>
      <c r="G178" s="945"/>
      <c r="H178" s="927"/>
      <c r="I178" s="940">
        <v>110134915</v>
      </c>
      <c r="J178" s="781">
        <v>552653991</v>
      </c>
      <c r="K178" s="781">
        <v>502405822</v>
      </c>
      <c r="L178" s="781">
        <v>311569828</v>
      </c>
      <c r="M178" s="781">
        <v>594752241</v>
      </c>
      <c r="N178" s="781">
        <v>495687475</v>
      </c>
      <c r="O178" s="781">
        <v>340024410</v>
      </c>
      <c r="P178" s="781">
        <v>41936353</v>
      </c>
      <c r="Q178" s="781">
        <v>209242446</v>
      </c>
      <c r="R178" s="873" t="s">
        <v>173</v>
      </c>
      <c r="S178" s="874" t="s">
        <v>66</v>
      </c>
      <c r="T178" s="2635" t="s">
        <v>2435</v>
      </c>
      <c r="U178" s="860">
        <v>1</v>
      </c>
      <c r="V178" s="875">
        <v>39932</v>
      </c>
      <c r="W178" s="862" t="s">
        <v>98</v>
      </c>
      <c r="X178" s="4288" t="s">
        <v>639</v>
      </c>
      <c r="Y178" s="852">
        <f t="shared" ca="1" si="12"/>
        <v>8.6416666666666675</v>
      </c>
      <c r="Z178" s="79">
        <v>166</v>
      </c>
    </row>
    <row r="179" spans="1:26" ht="14.1" customHeight="1" x14ac:dyDescent="0.2">
      <c r="A179" s="79"/>
      <c r="B179" s="2742" t="s">
        <v>1103</v>
      </c>
      <c r="C179" s="1854" t="s">
        <v>1067</v>
      </c>
      <c r="D179" s="1269"/>
      <c r="E179" s="1999"/>
      <c r="F179" s="3782">
        <f t="shared" si="11"/>
        <v>133.68332978628516</v>
      </c>
      <c r="G179" s="937">
        <f>146+221+237+462+167+149+294+138+675</f>
        <v>2489</v>
      </c>
      <c r="H179" s="938"/>
      <c r="I179" s="853">
        <v>91988920</v>
      </c>
      <c r="J179" s="843">
        <v>546358648</v>
      </c>
      <c r="K179" s="843">
        <v>504943936</v>
      </c>
      <c r="L179" s="843">
        <v>330980725</v>
      </c>
      <c r="M179" s="843">
        <v>585904942</v>
      </c>
      <c r="N179" s="843">
        <v>493369032</v>
      </c>
      <c r="O179" s="843">
        <v>370691482</v>
      </c>
      <c r="P179" s="843">
        <v>39820387</v>
      </c>
      <c r="Q179" s="843">
        <v>222285703</v>
      </c>
      <c r="R179" s="854" t="s">
        <v>1068</v>
      </c>
      <c r="S179" s="938" t="s">
        <v>66</v>
      </c>
      <c r="T179" s="2739" t="s">
        <v>2435</v>
      </c>
      <c r="U179" s="4162">
        <v>2</v>
      </c>
      <c r="V179" s="855">
        <v>41088</v>
      </c>
      <c r="W179" s="856" t="s">
        <v>440</v>
      </c>
      <c r="X179" s="4315" t="s">
        <v>1069</v>
      </c>
      <c r="Y179" s="857">
        <f t="shared" ca="1" si="12"/>
        <v>5.4777777777777779</v>
      </c>
      <c r="Z179" s="79"/>
    </row>
    <row r="180" spans="1:26" ht="14.1" customHeight="1" x14ac:dyDescent="0.2">
      <c r="A180" s="79">
        <v>168</v>
      </c>
      <c r="B180" s="1512" t="s">
        <v>1685</v>
      </c>
      <c r="C180" s="2933" t="s">
        <v>2431</v>
      </c>
      <c r="D180" s="1417"/>
      <c r="E180" s="1998" t="s">
        <v>2130</v>
      </c>
      <c r="F180" s="3782">
        <f t="shared" si="11"/>
        <v>133.75762127009116</v>
      </c>
      <c r="G180" s="934">
        <f>159.56+398.08+360.6+352.21+363.95+322.99+336.07+81.17</f>
        <v>2374.63</v>
      </c>
      <c r="H180" s="946"/>
      <c r="I180" s="947">
        <v>108237976</v>
      </c>
      <c r="J180" s="936">
        <v>558392240</v>
      </c>
      <c r="K180" s="936">
        <v>497465848</v>
      </c>
      <c r="L180" s="936">
        <v>314889974</v>
      </c>
      <c r="M180" s="936">
        <v>584447672</v>
      </c>
      <c r="N180" s="936">
        <v>486353121</v>
      </c>
      <c r="O180" s="846">
        <v>351170993</v>
      </c>
      <c r="P180" s="936">
        <v>38912128</v>
      </c>
      <c r="Q180" s="936">
        <v>213422231</v>
      </c>
      <c r="R180" s="847" t="s">
        <v>1304</v>
      </c>
      <c r="S180" s="848" t="s">
        <v>66</v>
      </c>
      <c r="T180" s="2648" t="s">
        <v>2435</v>
      </c>
      <c r="U180" s="849">
        <v>1</v>
      </c>
      <c r="V180" s="850">
        <v>41467</v>
      </c>
      <c r="W180" s="4631" t="s">
        <v>106</v>
      </c>
      <c r="X180" s="4313" t="s">
        <v>246</v>
      </c>
      <c r="Y180" s="852">
        <f t="shared" ca="1" si="12"/>
        <v>4.4388888888888891</v>
      </c>
      <c r="Z180" s="79">
        <v>168</v>
      </c>
    </row>
    <row r="181" spans="1:26" ht="14.1" customHeight="1" x14ac:dyDescent="0.2">
      <c r="A181" s="79"/>
      <c r="B181" s="908" t="s">
        <v>1685</v>
      </c>
      <c r="C181" s="1225" t="s">
        <v>2175</v>
      </c>
      <c r="D181" s="1269" t="s">
        <v>40</v>
      </c>
      <c r="E181" s="2005" t="s">
        <v>2130</v>
      </c>
      <c r="F181" s="3782">
        <f t="shared" si="11"/>
        <v>133.80735389369244</v>
      </c>
      <c r="G181" s="966">
        <f>65.9+300.8+247.3+203.9+333.9+263.3+165.8+29.9+180.9</f>
        <v>1791.7</v>
      </c>
      <c r="H181" s="943"/>
      <c r="I181" s="944">
        <v>114832338</v>
      </c>
      <c r="J181" s="808">
        <v>556126024</v>
      </c>
      <c r="K181" s="808">
        <v>515621506</v>
      </c>
      <c r="L181" s="808">
        <v>314776189</v>
      </c>
      <c r="M181" s="808">
        <v>596705992</v>
      </c>
      <c r="N181" s="808">
        <v>494111679</v>
      </c>
      <c r="O181" s="781">
        <v>342022028</v>
      </c>
      <c r="P181" s="808">
        <v>40780007</v>
      </c>
      <c r="Q181" s="902">
        <v>188878593</v>
      </c>
      <c r="R181" s="877" t="s">
        <v>2170</v>
      </c>
      <c r="S181" s="2275" t="s">
        <v>66</v>
      </c>
      <c r="T181" s="2644" t="s">
        <v>2435</v>
      </c>
      <c r="U181" s="879">
        <v>1</v>
      </c>
      <c r="V181" s="880">
        <v>41933</v>
      </c>
      <c r="W181" s="881" t="s">
        <v>121</v>
      </c>
      <c r="X181" s="4285" t="s">
        <v>2171</v>
      </c>
      <c r="Y181" s="857">
        <f t="shared" ca="1" si="12"/>
        <v>3.1638888888888888</v>
      </c>
      <c r="Z181" s="79"/>
    </row>
    <row r="182" spans="1:26" ht="14.1" customHeight="1" x14ac:dyDescent="0.25">
      <c r="A182" s="79">
        <v>170</v>
      </c>
      <c r="B182" s="912" t="s">
        <v>1103</v>
      </c>
      <c r="C182" s="1230" t="s">
        <v>158</v>
      </c>
      <c r="D182" s="1887"/>
      <c r="E182" s="2004"/>
      <c r="F182" s="3782">
        <f t="shared" si="11"/>
        <v>133.81228334875181</v>
      </c>
      <c r="G182" s="957"/>
      <c r="H182" s="958"/>
      <c r="I182" s="836">
        <v>110224188</v>
      </c>
      <c r="J182" s="837">
        <v>402585362</v>
      </c>
      <c r="K182" s="837">
        <v>517258490</v>
      </c>
      <c r="L182" s="837">
        <v>345841601</v>
      </c>
      <c r="M182" s="837">
        <v>587893539</v>
      </c>
      <c r="N182" s="837">
        <v>488155324</v>
      </c>
      <c r="O182" s="780">
        <v>308708335</v>
      </c>
      <c r="P182" s="837">
        <v>43915643</v>
      </c>
      <c r="Q182" s="837">
        <v>262946271</v>
      </c>
      <c r="R182" s="959" t="s">
        <v>122</v>
      </c>
      <c r="S182" s="960" t="s">
        <v>66</v>
      </c>
      <c r="T182" s="2645" t="s">
        <v>2435</v>
      </c>
      <c r="U182" s="961">
        <v>1</v>
      </c>
      <c r="V182" s="962">
        <v>37165</v>
      </c>
      <c r="W182" s="963" t="s">
        <v>71</v>
      </c>
      <c r="X182" s="4331" t="s">
        <v>691</v>
      </c>
      <c r="Y182" s="113">
        <f t="shared" ca="1" si="12"/>
        <v>16.219444444444445</v>
      </c>
      <c r="Z182" s="79">
        <v>170</v>
      </c>
    </row>
    <row r="183" spans="1:26" ht="14.1" customHeight="1" x14ac:dyDescent="0.2">
      <c r="A183" s="79"/>
      <c r="B183" s="114" t="s">
        <v>1685</v>
      </c>
      <c r="C183" s="4622" t="s">
        <v>1270</v>
      </c>
      <c r="D183" s="1944" t="s">
        <v>40</v>
      </c>
      <c r="E183" s="1999" t="s">
        <v>2130</v>
      </c>
      <c r="F183" s="3782">
        <f t="shared" si="11"/>
        <v>133.96965164729062</v>
      </c>
      <c r="G183" s="4626"/>
      <c r="H183" s="4627"/>
      <c r="I183" s="913">
        <v>94890237</v>
      </c>
      <c r="J183" s="913">
        <v>564230073</v>
      </c>
      <c r="K183" s="913">
        <v>501102036</v>
      </c>
      <c r="L183" s="913">
        <v>324796871</v>
      </c>
      <c r="M183" s="913">
        <v>590934557</v>
      </c>
      <c r="N183" s="913">
        <v>490819022</v>
      </c>
      <c r="O183" s="883">
        <v>378820758</v>
      </c>
      <c r="P183" s="913">
        <v>39025872</v>
      </c>
      <c r="Q183" s="913">
        <v>228290688</v>
      </c>
      <c r="R183" s="4089" t="s">
        <v>162</v>
      </c>
      <c r="S183" s="4120" t="s">
        <v>66</v>
      </c>
      <c r="T183" s="3880" t="s">
        <v>2435</v>
      </c>
      <c r="U183" s="4165">
        <v>1</v>
      </c>
      <c r="V183" s="4193">
        <v>39766</v>
      </c>
      <c r="W183" s="4217" t="s">
        <v>71</v>
      </c>
      <c r="X183" s="4339" t="s">
        <v>184</v>
      </c>
      <c r="Y183" s="119">
        <f t="shared" ca="1" si="12"/>
        <v>9.1</v>
      </c>
      <c r="Z183" s="79"/>
    </row>
    <row r="184" spans="1:26" ht="14.1" customHeight="1" x14ac:dyDescent="0.2">
      <c r="A184" s="79">
        <v>172</v>
      </c>
      <c r="B184" s="876" t="s">
        <v>1685</v>
      </c>
      <c r="C184" s="1229" t="s">
        <v>2401</v>
      </c>
      <c r="D184" s="1273" t="s">
        <v>40</v>
      </c>
      <c r="E184" s="1998" t="s">
        <v>2130</v>
      </c>
      <c r="F184" s="3782">
        <f t="shared" si="11"/>
        <v>133.98936373687687</v>
      </c>
      <c r="G184" s="2827">
        <f>244.3+323.08+312.52+695.25+282.65+236.22+ 498.88+164.08+1070.43</f>
        <v>3827.41</v>
      </c>
      <c r="H184" s="967"/>
      <c r="I184" s="895">
        <v>96009489</v>
      </c>
      <c r="J184" s="895">
        <v>571341351</v>
      </c>
      <c r="K184" s="895">
        <v>511618519</v>
      </c>
      <c r="L184" s="895">
        <v>314743942</v>
      </c>
      <c r="M184" s="895">
        <v>578120449</v>
      </c>
      <c r="N184" s="895">
        <v>487187988</v>
      </c>
      <c r="O184" s="886">
        <v>395564008</v>
      </c>
      <c r="P184" s="895">
        <v>38036597</v>
      </c>
      <c r="Q184" s="895">
        <v>206178717</v>
      </c>
      <c r="R184" s="121" t="s">
        <v>1961</v>
      </c>
      <c r="S184" s="3869" t="s">
        <v>62</v>
      </c>
      <c r="T184" s="2639" t="s">
        <v>2435</v>
      </c>
      <c r="U184" s="122">
        <v>1</v>
      </c>
      <c r="V184" s="123">
        <v>42921</v>
      </c>
      <c r="W184" s="124" t="s">
        <v>181</v>
      </c>
      <c r="X184" s="4308" t="s">
        <v>1797</v>
      </c>
      <c r="Y184" s="104">
        <f t="shared" ca="1" si="12"/>
        <v>0.45833333333333331</v>
      </c>
      <c r="Z184" s="79">
        <v>172</v>
      </c>
    </row>
    <row r="185" spans="1:26" ht="14.1" customHeight="1" x14ac:dyDescent="0.2">
      <c r="A185" s="79"/>
      <c r="B185" s="98" t="s">
        <v>1685</v>
      </c>
      <c r="C185" s="1225" t="s">
        <v>2259</v>
      </c>
      <c r="D185" s="1269" t="s">
        <v>40</v>
      </c>
      <c r="E185" s="1999" t="s">
        <v>2130</v>
      </c>
      <c r="F185" s="3782">
        <f t="shared" si="10"/>
        <v>134.10359423198804</v>
      </c>
      <c r="G185" s="974">
        <f>247.9+356.4+411.7+720.5+302.5+247.4+563.7+169.2+1093.6</f>
        <v>4112.8999999999996</v>
      </c>
      <c r="H185" s="917"/>
      <c r="I185" s="840">
        <v>96009549</v>
      </c>
      <c r="J185" s="780">
        <v>571341089</v>
      </c>
      <c r="K185" s="780">
        <v>511618762</v>
      </c>
      <c r="L185" s="780">
        <v>314744272</v>
      </c>
      <c r="M185" s="780">
        <v>578120449</v>
      </c>
      <c r="N185" s="780">
        <v>487187988</v>
      </c>
      <c r="O185" s="780">
        <v>395563808</v>
      </c>
      <c r="P185" s="780">
        <v>38036415</v>
      </c>
      <c r="Q185" s="780">
        <v>206179840</v>
      </c>
      <c r="R185" s="918" t="s">
        <v>1961</v>
      </c>
      <c r="S185" s="2701" t="s">
        <v>62</v>
      </c>
      <c r="T185" s="2644" t="s">
        <v>2435</v>
      </c>
      <c r="U185" s="956">
        <v>1</v>
      </c>
      <c r="V185" s="920">
        <v>42809</v>
      </c>
      <c r="W185" s="921" t="s">
        <v>181</v>
      </c>
      <c r="X185" s="4309" t="s">
        <v>1797</v>
      </c>
      <c r="Y185" s="113">
        <f t="shared" ref="Y185:Y243" ca="1" si="13">YEARFRAC(V185,Y$6)</f>
        <v>0.76388888888888884</v>
      </c>
      <c r="Z185" s="79"/>
    </row>
    <row r="186" spans="1:26" ht="14.1" customHeight="1" x14ac:dyDescent="0.2">
      <c r="A186" s="79">
        <v>174</v>
      </c>
      <c r="B186" s="908" t="s">
        <v>1685</v>
      </c>
      <c r="C186" s="1225" t="s">
        <v>2051</v>
      </c>
      <c r="D186" s="1269" t="s">
        <v>40</v>
      </c>
      <c r="E186" s="1998" t="s">
        <v>2130</v>
      </c>
      <c r="F186" s="3782">
        <f t="shared" si="10"/>
        <v>134.15952285988817</v>
      </c>
      <c r="G186" s="974">
        <f>261.56+308.79+316.66+705.35+289.87+241.04+491.82+162.84+1096.27</f>
        <v>3874.2000000000003</v>
      </c>
      <c r="H186" s="917"/>
      <c r="I186" s="836">
        <v>96142843</v>
      </c>
      <c r="J186" s="837">
        <v>572607207</v>
      </c>
      <c r="K186" s="837">
        <v>511687481</v>
      </c>
      <c r="L186" s="837">
        <v>315051530</v>
      </c>
      <c r="M186" s="837">
        <v>577917458</v>
      </c>
      <c r="N186" s="837">
        <v>487364726</v>
      </c>
      <c r="O186" s="780">
        <v>395705888</v>
      </c>
      <c r="P186" s="837">
        <v>38134896</v>
      </c>
      <c r="Q186" s="1797">
        <v>206582271</v>
      </c>
      <c r="R186" s="918" t="s">
        <v>1961</v>
      </c>
      <c r="S186" s="2701" t="s">
        <v>62</v>
      </c>
      <c r="T186" s="2644" t="s">
        <v>2435</v>
      </c>
      <c r="U186" s="956">
        <v>1</v>
      </c>
      <c r="V186" s="920">
        <v>42473</v>
      </c>
      <c r="W186" s="921" t="s">
        <v>181</v>
      </c>
      <c r="X186" s="4309" t="s">
        <v>1797</v>
      </c>
      <c r="Y186" s="113">
        <f t="shared" ca="1" si="13"/>
        <v>1.6861111111111111</v>
      </c>
      <c r="Z186" s="79">
        <v>174</v>
      </c>
    </row>
    <row r="187" spans="1:26" ht="14.1" customHeight="1" x14ac:dyDescent="0.2">
      <c r="A187" s="79"/>
      <c r="B187" s="972" t="s">
        <v>1685</v>
      </c>
      <c r="C187" s="1223" t="s">
        <v>1193</v>
      </c>
      <c r="D187" s="1944" t="s">
        <v>40</v>
      </c>
      <c r="E187" s="1999" t="s">
        <v>2130</v>
      </c>
      <c r="F187" s="3782">
        <f t="shared" si="10"/>
        <v>134.17296183738497</v>
      </c>
      <c r="G187" s="4013"/>
      <c r="H187" s="924"/>
      <c r="I187" s="883">
        <v>92280013</v>
      </c>
      <c r="J187" s="883">
        <v>542869941</v>
      </c>
      <c r="K187" s="883">
        <v>501846538</v>
      </c>
      <c r="L187" s="883">
        <v>338914222</v>
      </c>
      <c r="M187" s="883">
        <v>582182218</v>
      </c>
      <c r="N187" s="883">
        <v>489857886</v>
      </c>
      <c r="O187" s="883">
        <v>369181487</v>
      </c>
      <c r="P187" s="883">
        <v>39307816</v>
      </c>
      <c r="Q187" s="883">
        <v>244203549</v>
      </c>
      <c r="R187" s="892" t="s">
        <v>149</v>
      </c>
      <c r="S187" s="925" t="s">
        <v>66</v>
      </c>
      <c r="T187" s="2656" t="s">
        <v>2435</v>
      </c>
      <c r="U187" s="2711">
        <v>4</v>
      </c>
      <c r="V187" s="893">
        <v>39551</v>
      </c>
      <c r="W187" s="894" t="s">
        <v>2215</v>
      </c>
      <c r="X187" s="4322" t="s">
        <v>150</v>
      </c>
      <c r="Y187" s="119">
        <f t="shared" ca="1" si="13"/>
        <v>9.6861111111111118</v>
      </c>
      <c r="Z187" s="79"/>
    </row>
    <row r="188" spans="1:26" ht="14.1" customHeight="1" x14ac:dyDescent="0.25">
      <c r="A188" s="79">
        <v>176</v>
      </c>
      <c r="B188" s="876" t="s">
        <v>1685</v>
      </c>
      <c r="C188" s="1229" t="s">
        <v>225</v>
      </c>
      <c r="D188" s="3824"/>
      <c r="E188" s="2002" t="s">
        <v>2130</v>
      </c>
      <c r="F188" s="3782">
        <f t="shared" si="10"/>
        <v>134.17355221141602</v>
      </c>
      <c r="G188" s="3837"/>
      <c r="H188" s="951"/>
      <c r="I188" s="895">
        <v>108202032</v>
      </c>
      <c r="J188" s="895">
        <v>565908423</v>
      </c>
      <c r="K188" s="895">
        <v>499625063</v>
      </c>
      <c r="L188" s="895">
        <v>318266371</v>
      </c>
      <c r="M188" s="895">
        <v>586462954</v>
      </c>
      <c r="N188" s="895">
        <v>485444737</v>
      </c>
      <c r="O188" s="886">
        <v>370821320</v>
      </c>
      <c r="P188" s="895">
        <v>38854482</v>
      </c>
      <c r="Q188" s="895">
        <v>214663204</v>
      </c>
      <c r="R188" s="952" t="s">
        <v>226</v>
      </c>
      <c r="S188" s="953" t="s">
        <v>66</v>
      </c>
      <c r="T188" s="2643" t="s">
        <v>2435</v>
      </c>
      <c r="U188" s="954">
        <v>1</v>
      </c>
      <c r="V188" s="3896">
        <v>37478</v>
      </c>
      <c r="W188" s="955" t="s">
        <v>71</v>
      </c>
      <c r="X188" s="4295" t="s">
        <v>134</v>
      </c>
      <c r="Y188" s="104">
        <f t="shared" ca="1" si="13"/>
        <v>15.361111111111111</v>
      </c>
      <c r="Z188" s="79">
        <v>176</v>
      </c>
    </row>
    <row r="189" spans="1:26" ht="14.1" customHeight="1" x14ac:dyDescent="0.25">
      <c r="A189" s="79"/>
      <c r="B189" s="928" t="s">
        <v>1685</v>
      </c>
      <c r="C189" s="1228" t="s">
        <v>2603</v>
      </c>
      <c r="D189" s="1950"/>
      <c r="E189" s="2001" t="s">
        <v>2130</v>
      </c>
      <c r="F189" s="3782">
        <f t="shared" si="10"/>
        <v>134.28204097328299</v>
      </c>
      <c r="G189" s="1855"/>
      <c r="H189" s="968"/>
      <c r="I189" s="836">
        <v>108656636</v>
      </c>
      <c r="J189" s="837">
        <v>543280782</v>
      </c>
      <c r="K189" s="837">
        <v>509650622</v>
      </c>
      <c r="L189" s="837">
        <v>336645753</v>
      </c>
      <c r="M189" s="837">
        <v>583354739</v>
      </c>
      <c r="N189" s="837">
        <v>489757415</v>
      </c>
      <c r="O189" s="780">
        <v>343944646</v>
      </c>
      <c r="P189" s="837">
        <v>39507499</v>
      </c>
      <c r="Q189" s="837">
        <v>222572448</v>
      </c>
      <c r="R189" s="969" t="s">
        <v>169</v>
      </c>
      <c r="S189" s="970" t="s">
        <v>66</v>
      </c>
      <c r="T189" s="2653" t="s">
        <v>2435</v>
      </c>
      <c r="U189" s="1511">
        <v>1</v>
      </c>
      <c r="V189" s="1671">
        <v>38977</v>
      </c>
      <c r="W189" s="971" t="s">
        <v>71</v>
      </c>
      <c r="X189" s="4334" t="s">
        <v>170</v>
      </c>
      <c r="Y189" s="113">
        <f t="shared" ca="1" si="13"/>
        <v>11.258333333333333</v>
      </c>
      <c r="Z189" s="79"/>
    </row>
    <row r="190" spans="1:26" ht="14.1" customHeight="1" x14ac:dyDescent="0.25">
      <c r="A190" s="79">
        <v>178</v>
      </c>
      <c r="B190" s="915" t="s">
        <v>1103</v>
      </c>
      <c r="C190" s="1225" t="s">
        <v>1656</v>
      </c>
      <c r="D190" s="1952"/>
      <c r="E190" s="2002"/>
      <c r="F190" s="3782">
        <f t="shared" si="10"/>
        <v>134.39068681968871</v>
      </c>
      <c r="G190" s="916"/>
      <c r="H190" s="917"/>
      <c r="I190" s="836">
        <v>110194789</v>
      </c>
      <c r="J190" s="837">
        <v>558320196</v>
      </c>
      <c r="K190" s="837">
        <v>488536455</v>
      </c>
      <c r="L190" s="837">
        <v>323205052</v>
      </c>
      <c r="M190" s="837">
        <v>598609391</v>
      </c>
      <c r="N190" s="837">
        <v>489624805</v>
      </c>
      <c r="O190" s="780">
        <v>367267801</v>
      </c>
      <c r="P190" s="837">
        <v>41905788</v>
      </c>
      <c r="Q190" s="837">
        <v>200324625</v>
      </c>
      <c r="R190" s="918" t="s">
        <v>215</v>
      </c>
      <c r="S190" s="919" t="s">
        <v>66</v>
      </c>
      <c r="T190" s="2640" t="s">
        <v>2435</v>
      </c>
      <c r="U190" s="956">
        <v>1</v>
      </c>
      <c r="V190" s="920">
        <v>37171</v>
      </c>
      <c r="W190" s="921" t="s">
        <v>76</v>
      </c>
      <c r="X190" s="4309" t="s">
        <v>170</v>
      </c>
      <c r="Y190" s="113">
        <f t="shared" ca="1" si="13"/>
        <v>16.202777777777779</v>
      </c>
      <c r="Z190" s="79">
        <v>178</v>
      </c>
    </row>
    <row r="191" spans="1:26" ht="14.1" customHeight="1" x14ac:dyDescent="0.2">
      <c r="A191" s="79"/>
      <c r="B191" s="3791" t="s">
        <v>1103</v>
      </c>
      <c r="C191" s="1223" t="s">
        <v>2600</v>
      </c>
      <c r="D191" s="1944"/>
      <c r="E191" s="1999"/>
      <c r="F191" s="3782">
        <f t="shared" si="10"/>
        <v>134.4063212490849</v>
      </c>
      <c r="G191" s="3836">
        <f>141+221+287+570+225+124+357+136+701</f>
        <v>2762</v>
      </c>
      <c r="H191" s="924"/>
      <c r="I191" s="913">
        <v>91041077</v>
      </c>
      <c r="J191" s="913">
        <v>539760691</v>
      </c>
      <c r="K191" s="913">
        <v>505728698</v>
      </c>
      <c r="L191" s="913">
        <v>330768359</v>
      </c>
      <c r="M191" s="913">
        <v>585298265</v>
      </c>
      <c r="N191" s="913">
        <v>487906285</v>
      </c>
      <c r="O191" s="883">
        <v>368710092</v>
      </c>
      <c r="P191" s="913">
        <v>39682161</v>
      </c>
      <c r="Q191" s="2039">
        <v>238348228</v>
      </c>
      <c r="R191" s="892" t="s">
        <v>539</v>
      </c>
      <c r="S191" s="2708" t="s">
        <v>62</v>
      </c>
      <c r="T191" s="2637" t="s">
        <v>2435</v>
      </c>
      <c r="U191" s="926">
        <v>1</v>
      </c>
      <c r="V191" s="893">
        <v>41992</v>
      </c>
      <c r="W191" s="894" t="s">
        <v>76</v>
      </c>
      <c r="X191" s="4322" t="s">
        <v>150</v>
      </c>
      <c r="Y191" s="119">
        <f t="shared" ca="1" si="13"/>
        <v>3.0027777777777778</v>
      </c>
      <c r="Z191" s="79"/>
    </row>
    <row r="192" spans="1:26" ht="14.1" customHeight="1" x14ac:dyDescent="0.25">
      <c r="A192" s="79">
        <v>180</v>
      </c>
      <c r="B192" s="103" t="s">
        <v>1685</v>
      </c>
      <c r="C192" s="2315" t="s">
        <v>2604</v>
      </c>
      <c r="D192" s="1845"/>
      <c r="E192" s="1998" t="s">
        <v>2130</v>
      </c>
      <c r="F192" s="3782">
        <f t="shared" si="10"/>
        <v>134.55914096981209</v>
      </c>
      <c r="G192" s="3707"/>
      <c r="H192" s="922"/>
      <c r="I192" s="886">
        <v>105981478</v>
      </c>
      <c r="J192" s="895">
        <v>562837930</v>
      </c>
      <c r="K192" s="895">
        <v>499029440</v>
      </c>
      <c r="L192" s="895">
        <v>321461252</v>
      </c>
      <c r="M192" s="895">
        <v>589834526</v>
      </c>
      <c r="N192" s="895">
        <v>488307108</v>
      </c>
      <c r="O192" s="886">
        <v>378438292</v>
      </c>
      <c r="P192" s="886">
        <v>38779655</v>
      </c>
      <c r="Q192" s="895">
        <v>218313307</v>
      </c>
      <c r="R192" s="121" t="s">
        <v>162</v>
      </c>
      <c r="S192" s="120" t="s">
        <v>66</v>
      </c>
      <c r="T192" s="2636" t="s">
        <v>2435</v>
      </c>
      <c r="U192" s="122">
        <v>1</v>
      </c>
      <c r="V192" s="123">
        <v>39327</v>
      </c>
      <c r="W192" s="124" t="s">
        <v>71</v>
      </c>
      <c r="X192" s="4308" t="s">
        <v>163</v>
      </c>
      <c r="Y192" s="104">
        <f t="shared" ca="1" si="13"/>
        <v>10.3</v>
      </c>
      <c r="Z192" s="79">
        <v>180</v>
      </c>
    </row>
    <row r="193" spans="1:26" ht="14.1" customHeight="1" x14ac:dyDescent="0.2">
      <c r="A193" s="79"/>
      <c r="B193" s="908" t="s">
        <v>1685</v>
      </c>
      <c r="C193" s="2155" t="s">
        <v>2491</v>
      </c>
      <c r="D193" s="1269" t="s">
        <v>40</v>
      </c>
      <c r="E193" s="1999" t="s">
        <v>2130</v>
      </c>
      <c r="F193" s="3782">
        <f t="shared" si="10"/>
        <v>134.63910392328287</v>
      </c>
      <c r="G193" s="108">
        <f>163.78+604.95+557.09+557.09+308.45+609.32+479.4+441.83+112.03+365.45</f>
        <v>4199.3900000000003</v>
      </c>
      <c r="H193" s="110"/>
      <c r="I193" s="836">
        <v>109843776</v>
      </c>
      <c r="J193" s="837">
        <v>547770688</v>
      </c>
      <c r="K193" s="837">
        <v>520075469</v>
      </c>
      <c r="L193" s="837">
        <v>308766145</v>
      </c>
      <c r="M193" s="837">
        <v>589088363</v>
      </c>
      <c r="N193" s="837">
        <v>489770225</v>
      </c>
      <c r="O193" s="780">
        <v>363130716</v>
      </c>
      <c r="P193" s="837">
        <v>40094698</v>
      </c>
      <c r="Q193" s="837">
        <v>198250738</v>
      </c>
      <c r="R193" s="126" t="s">
        <v>2490</v>
      </c>
      <c r="S193" s="2709" t="s">
        <v>62</v>
      </c>
      <c r="T193" s="2638" t="s">
        <v>2435</v>
      </c>
      <c r="U193" s="2704">
        <v>2</v>
      </c>
      <c r="V193" s="127">
        <v>41353</v>
      </c>
      <c r="W193" s="128" t="s">
        <v>74</v>
      </c>
      <c r="X193" s="4306" t="s">
        <v>190</v>
      </c>
      <c r="Y193" s="113">
        <f t="shared" ca="1" si="13"/>
        <v>4.75</v>
      </c>
      <c r="Z193" s="79"/>
    </row>
    <row r="194" spans="1:26" ht="14.1" customHeight="1" x14ac:dyDescent="0.2">
      <c r="A194" s="79">
        <v>182</v>
      </c>
      <c r="B194" s="908" t="s">
        <v>1685</v>
      </c>
      <c r="C194" s="1231" t="s">
        <v>2605</v>
      </c>
      <c r="D194" s="1269" t="s">
        <v>40</v>
      </c>
      <c r="E194" s="1998" t="s">
        <v>2130</v>
      </c>
      <c r="F194" s="3782">
        <f t="shared" si="10"/>
        <v>134.68078675917025</v>
      </c>
      <c r="G194" s="1855"/>
      <c r="H194" s="968"/>
      <c r="I194" s="837">
        <v>111877078</v>
      </c>
      <c r="J194" s="837">
        <v>541620909</v>
      </c>
      <c r="K194" s="837">
        <v>501567082</v>
      </c>
      <c r="L194" s="837">
        <v>319754089</v>
      </c>
      <c r="M194" s="837">
        <v>581460403</v>
      </c>
      <c r="N194" s="837">
        <v>488286686</v>
      </c>
      <c r="O194" s="780">
        <v>363360613</v>
      </c>
      <c r="P194" s="837">
        <v>42566306</v>
      </c>
      <c r="Q194" s="837">
        <v>209645440</v>
      </c>
      <c r="R194" s="918" t="s">
        <v>155</v>
      </c>
      <c r="S194" s="919" t="s">
        <v>66</v>
      </c>
      <c r="T194" s="2640" t="s">
        <v>2435</v>
      </c>
      <c r="U194" s="956">
        <v>1</v>
      </c>
      <c r="V194" s="920">
        <v>39315</v>
      </c>
      <c r="W194" s="921" t="s">
        <v>156</v>
      </c>
      <c r="X194" s="4309" t="s">
        <v>157</v>
      </c>
      <c r="Y194" s="113">
        <f t="shared" ca="1" si="13"/>
        <v>10.330555555555556</v>
      </c>
      <c r="Z194" s="79">
        <v>182</v>
      </c>
    </row>
    <row r="195" spans="1:26" ht="14.1" customHeight="1" x14ac:dyDescent="0.25">
      <c r="A195" s="79"/>
      <c r="B195" s="897" t="s">
        <v>1103</v>
      </c>
      <c r="C195" s="3802" t="s">
        <v>2601</v>
      </c>
      <c r="D195" s="1946"/>
      <c r="E195" s="1999"/>
      <c r="F195" s="3782">
        <f t="shared" si="10"/>
        <v>134.68140171095226</v>
      </c>
      <c r="G195" s="4014">
        <f>216+303+48+273+530+246+205+374+140+676</f>
        <v>3011</v>
      </c>
      <c r="H195" s="1491"/>
      <c r="I195" s="883">
        <v>92138575</v>
      </c>
      <c r="J195" s="883">
        <v>539821325</v>
      </c>
      <c r="K195" s="883">
        <v>505676498</v>
      </c>
      <c r="L195" s="883">
        <v>330765243</v>
      </c>
      <c r="M195" s="883">
        <v>585758383</v>
      </c>
      <c r="N195" s="883">
        <v>487621514</v>
      </c>
      <c r="O195" s="883">
        <v>368630301</v>
      </c>
      <c r="P195" s="883">
        <v>39668539</v>
      </c>
      <c r="Q195" s="883">
        <v>238368426</v>
      </c>
      <c r="R195" s="884" t="s">
        <v>539</v>
      </c>
      <c r="S195" s="116" t="s">
        <v>66</v>
      </c>
      <c r="T195" s="2641" t="s">
        <v>2435</v>
      </c>
      <c r="U195" s="117">
        <v>1</v>
      </c>
      <c r="V195" s="885">
        <v>41443</v>
      </c>
      <c r="W195" s="118" t="s">
        <v>76</v>
      </c>
      <c r="X195" s="4294" t="s">
        <v>150</v>
      </c>
      <c r="Y195" s="119">
        <f t="shared" ca="1" si="13"/>
        <v>4.5055555555555555</v>
      </c>
      <c r="Z195" s="79"/>
    </row>
    <row r="196" spans="1:26" ht="14.1" customHeight="1" x14ac:dyDescent="0.2">
      <c r="A196" s="79">
        <v>184</v>
      </c>
      <c r="B196" s="2281" t="s">
        <v>1685</v>
      </c>
      <c r="C196" s="1229" t="s">
        <v>1632</v>
      </c>
      <c r="D196" s="1273" t="s">
        <v>40</v>
      </c>
      <c r="E196" s="1998" t="s">
        <v>2130</v>
      </c>
      <c r="F196" s="3782">
        <f t="shared" si="10"/>
        <v>134.6887448232745</v>
      </c>
      <c r="G196" s="2749">
        <f>133.8+229.4+219.1+156.3+111.1+240.8+88.1+659.3</f>
        <v>1837.9</v>
      </c>
      <c r="H196" s="951"/>
      <c r="I196" s="886">
        <v>100747414</v>
      </c>
      <c r="J196" s="895">
        <v>553606526</v>
      </c>
      <c r="K196" s="886">
        <v>510792045</v>
      </c>
      <c r="L196" s="886">
        <v>317612755</v>
      </c>
      <c r="M196" s="886">
        <v>594851807</v>
      </c>
      <c r="N196" s="886">
        <v>485958021</v>
      </c>
      <c r="O196" s="886">
        <v>396290778</v>
      </c>
      <c r="P196" s="886">
        <v>40117844</v>
      </c>
      <c r="Q196" s="886">
        <v>207174573</v>
      </c>
      <c r="R196" s="952" t="s">
        <v>1852</v>
      </c>
      <c r="S196" s="953" t="s">
        <v>66</v>
      </c>
      <c r="T196" s="2643" t="s">
        <v>2435</v>
      </c>
      <c r="U196" s="2720">
        <v>2</v>
      </c>
      <c r="V196" s="973">
        <v>41261</v>
      </c>
      <c r="W196" s="955" t="s">
        <v>74</v>
      </c>
      <c r="X196" s="4295" t="s">
        <v>237</v>
      </c>
      <c r="Y196" s="104">
        <f t="shared" ca="1" si="13"/>
        <v>5.0055555555555555</v>
      </c>
      <c r="Z196" s="79">
        <v>184</v>
      </c>
    </row>
    <row r="197" spans="1:26" ht="14.1" customHeight="1" x14ac:dyDescent="0.2">
      <c r="A197" s="79"/>
      <c r="B197" s="3790" t="s">
        <v>1685</v>
      </c>
      <c r="C197" s="1496" t="s">
        <v>1271</v>
      </c>
      <c r="D197" s="1944" t="s">
        <v>40</v>
      </c>
      <c r="E197" s="1999" t="s">
        <v>2130</v>
      </c>
      <c r="F197" s="3782">
        <f t="shared" si="10"/>
        <v>134.94226432915008</v>
      </c>
      <c r="G197" s="115"/>
      <c r="H197" s="115"/>
      <c r="I197" s="913">
        <v>97836059</v>
      </c>
      <c r="J197" s="913">
        <v>564089154</v>
      </c>
      <c r="K197" s="913">
        <v>500270017</v>
      </c>
      <c r="L197" s="913">
        <v>332803843</v>
      </c>
      <c r="M197" s="913">
        <v>591055612</v>
      </c>
      <c r="N197" s="913">
        <v>491168091</v>
      </c>
      <c r="O197" s="883">
        <v>374473809</v>
      </c>
      <c r="P197" s="913">
        <v>38914555</v>
      </c>
      <c r="Q197" s="913">
        <v>233336593</v>
      </c>
      <c r="R197" s="884" t="s">
        <v>136</v>
      </c>
      <c r="S197" s="2836" t="s">
        <v>62</v>
      </c>
      <c r="T197" s="2659" t="s">
        <v>2435</v>
      </c>
      <c r="U197" s="117">
        <v>1</v>
      </c>
      <c r="V197" s="885">
        <v>39637</v>
      </c>
      <c r="W197" s="118" t="s">
        <v>71</v>
      </c>
      <c r="X197" s="4294" t="s">
        <v>137</v>
      </c>
      <c r="Y197" s="119">
        <f t="shared" ca="1" si="13"/>
        <v>9.4499999999999993</v>
      </c>
      <c r="Z197" s="79"/>
    </row>
    <row r="198" spans="1:26" ht="14.1" customHeight="1" x14ac:dyDescent="0.2">
      <c r="A198" s="79">
        <v>186</v>
      </c>
      <c r="B198" s="103" t="s">
        <v>1685</v>
      </c>
      <c r="C198" s="1220" t="s">
        <v>1540</v>
      </c>
      <c r="D198" s="1273"/>
      <c r="E198" s="1998" t="s">
        <v>2130</v>
      </c>
      <c r="F198" s="3782">
        <f t="shared" si="10"/>
        <v>135.02402432118475</v>
      </c>
      <c r="G198" s="914">
        <f>267+764+601+637+663+510+616+147+836</f>
        <v>5041</v>
      </c>
      <c r="H198" s="967"/>
      <c r="I198" s="802">
        <v>107828454</v>
      </c>
      <c r="J198" s="895">
        <v>549287007</v>
      </c>
      <c r="K198" s="886">
        <v>495786268</v>
      </c>
      <c r="L198" s="886">
        <v>317349443</v>
      </c>
      <c r="M198" s="886">
        <v>611304042</v>
      </c>
      <c r="N198" s="886">
        <v>503297860</v>
      </c>
      <c r="O198" s="886">
        <v>337849662</v>
      </c>
      <c r="P198" s="886">
        <v>41114563</v>
      </c>
      <c r="Q198" s="886">
        <v>203670982</v>
      </c>
      <c r="R198" s="121" t="s">
        <v>1536</v>
      </c>
      <c r="S198" s="120" t="s">
        <v>66</v>
      </c>
      <c r="T198" s="2639" t="s">
        <v>2435</v>
      </c>
      <c r="U198" s="2706">
        <v>2</v>
      </c>
      <c r="V198" s="123">
        <v>41612</v>
      </c>
      <c r="W198" s="124" t="s">
        <v>76</v>
      </c>
      <c r="X198" s="4308" t="s">
        <v>246</v>
      </c>
      <c r="Y198" s="104">
        <f t="shared" ca="1" si="13"/>
        <v>4.0444444444444443</v>
      </c>
      <c r="Z198" s="79">
        <v>186</v>
      </c>
    </row>
    <row r="199" spans="1:26" ht="14.1" customHeight="1" x14ac:dyDescent="0.2">
      <c r="A199" s="79"/>
      <c r="B199" s="98" t="s">
        <v>1685</v>
      </c>
      <c r="C199" s="1217" t="s">
        <v>1633</v>
      </c>
      <c r="D199" s="1269" t="s">
        <v>40</v>
      </c>
      <c r="E199" s="1999" t="s">
        <v>2130</v>
      </c>
      <c r="F199" s="3782">
        <f t="shared" si="10"/>
        <v>135.08203268754883</v>
      </c>
      <c r="G199" s="109"/>
      <c r="H199" s="110"/>
      <c r="I199" s="840">
        <v>111691347</v>
      </c>
      <c r="J199" s="780">
        <v>558968216</v>
      </c>
      <c r="K199" s="780">
        <v>497779801</v>
      </c>
      <c r="L199" s="780">
        <v>325078597</v>
      </c>
      <c r="M199" s="780">
        <v>623224719</v>
      </c>
      <c r="N199" s="780">
        <v>508596589</v>
      </c>
      <c r="O199" s="780">
        <v>345728180</v>
      </c>
      <c r="P199" s="780">
        <v>41450794</v>
      </c>
      <c r="Q199" s="780">
        <v>202348850</v>
      </c>
      <c r="R199" s="3737" t="s">
        <v>206</v>
      </c>
      <c r="S199" s="111" t="s">
        <v>66</v>
      </c>
      <c r="T199" s="2638" t="s">
        <v>2435</v>
      </c>
      <c r="U199" s="112">
        <v>1</v>
      </c>
      <c r="V199" s="3275">
        <v>37278</v>
      </c>
      <c r="W199" s="128" t="s">
        <v>76</v>
      </c>
      <c r="X199" s="4306" t="s">
        <v>2019</v>
      </c>
      <c r="Y199" s="113">
        <f t="shared" ca="1" si="13"/>
        <v>15.911111111111111</v>
      </c>
      <c r="Z199" s="79"/>
    </row>
    <row r="200" spans="1:26" ht="14.1" customHeight="1" x14ac:dyDescent="0.2">
      <c r="A200" s="79">
        <v>188</v>
      </c>
      <c r="B200" s="908" t="s">
        <v>1685</v>
      </c>
      <c r="C200" s="2155" t="s">
        <v>2489</v>
      </c>
      <c r="D200" s="1269" t="s">
        <v>40</v>
      </c>
      <c r="E200" s="1998" t="s">
        <v>2130</v>
      </c>
      <c r="F200" s="3782">
        <f t="shared" si="10"/>
        <v>135.08354043113042</v>
      </c>
      <c r="G200" s="106">
        <f>134.96+628.65+530.51+281.88+515.04+426.78+ 406.29+45.31+174.81</f>
        <v>3144.2299999999996</v>
      </c>
      <c r="H200" s="927"/>
      <c r="I200" s="807">
        <v>111362547</v>
      </c>
      <c r="J200" s="808">
        <v>547900123</v>
      </c>
      <c r="K200" s="808">
        <v>520347231</v>
      </c>
      <c r="L200" s="808">
        <v>312112802</v>
      </c>
      <c r="M200" s="808">
        <v>590846739</v>
      </c>
      <c r="N200" s="808">
        <v>490167436</v>
      </c>
      <c r="O200" s="781">
        <v>363295167</v>
      </c>
      <c r="P200" s="808">
        <v>40518778</v>
      </c>
      <c r="Q200" s="808">
        <v>201531077</v>
      </c>
      <c r="R200" s="873" t="s">
        <v>2488</v>
      </c>
      <c r="S200" s="2702" t="s">
        <v>62</v>
      </c>
      <c r="T200" s="2638" t="s">
        <v>2435</v>
      </c>
      <c r="U200" s="860">
        <v>1</v>
      </c>
      <c r="V200" s="875">
        <v>42225</v>
      </c>
      <c r="W200" s="862" t="s">
        <v>74</v>
      </c>
      <c r="X200" s="4288" t="s">
        <v>190</v>
      </c>
      <c r="Y200" s="857">
        <f t="shared" ca="1" si="13"/>
        <v>2.3638888888888889</v>
      </c>
      <c r="Z200" s="79">
        <v>188</v>
      </c>
    </row>
    <row r="201" spans="1:26" ht="14.1" customHeight="1" x14ac:dyDescent="0.25">
      <c r="A201" s="79"/>
      <c r="B201" s="3938" t="s">
        <v>1685</v>
      </c>
      <c r="C201" s="3971" t="s">
        <v>1197</v>
      </c>
      <c r="D201" s="3596"/>
      <c r="E201" s="2000"/>
      <c r="F201" s="3782">
        <f t="shared" si="10"/>
        <v>135.17097592093984</v>
      </c>
      <c r="G201" s="4015">
        <f>275+410+377+479+446+366+424+358+467</f>
        <v>3602</v>
      </c>
      <c r="H201" s="4048"/>
      <c r="I201" s="863">
        <v>112958518</v>
      </c>
      <c r="J201" s="864">
        <v>425228044</v>
      </c>
      <c r="K201" s="864">
        <v>479823864</v>
      </c>
      <c r="L201" s="864">
        <v>324950189</v>
      </c>
      <c r="M201" s="864">
        <v>585721310</v>
      </c>
      <c r="N201" s="864">
        <v>484279511</v>
      </c>
      <c r="O201" s="864">
        <v>330089323</v>
      </c>
      <c r="P201" s="864">
        <v>55086364</v>
      </c>
      <c r="Q201" s="864">
        <v>208335680</v>
      </c>
      <c r="R201" s="4088" t="s">
        <v>189</v>
      </c>
      <c r="S201" s="4118" t="s">
        <v>66</v>
      </c>
      <c r="T201" s="2650" t="s">
        <v>2435</v>
      </c>
      <c r="U201" s="4163">
        <v>1</v>
      </c>
      <c r="V201" s="4190">
        <v>38948</v>
      </c>
      <c r="W201" s="4216" t="s">
        <v>71</v>
      </c>
      <c r="X201" s="4335" t="s">
        <v>1312</v>
      </c>
      <c r="Y201" s="866">
        <f t="shared" ca="1" si="13"/>
        <v>11.33611111111111</v>
      </c>
      <c r="Z201" s="79"/>
    </row>
    <row r="202" spans="1:26" ht="14.1" customHeight="1" x14ac:dyDescent="0.2">
      <c r="A202" s="79">
        <v>190</v>
      </c>
      <c r="B202" s="3586" t="s">
        <v>1103</v>
      </c>
      <c r="C202" s="3684" t="s">
        <v>1634</v>
      </c>
      <c r="D202" s="1273" t="s">
        <v>40</v>
      </c>
      <c r="E202" s="1998"/>
      <c r="F202" s="3782">
        <f t="shared" si="10"/>
        <v>135.27250888197523</v>
      </c>
      <c r="G202" s="3707"/>
      <c r="H202" s="3720"/>
      <c r="I202" s="802">
        <v>117485136</v>
      </c>
      <c r="J202" s="975">
        <v>594118349</v>
      </c>
      <c r="K202" s="975">
        <v>522877780</v>
      </c>
      <c r="L202" s="975">
        <v>321300315</v>
      </c>
      <c r="M202" s="975">
        <v>592810691</v>
      </c>
      <c r="N202" s="975">
        <v>489285713</v>
      </c>
      <c r="O202" s="868">
        <v>310995994</v>
      </c>
      <c r="P202" s="975">
        <v>37513145</v>
      </c>
      <c r="Q202" s="975">
        <v>223904096</v>
      </c>
      <c r="R202" s="3743" t="s">
        <v>144</v>
      </c>
      <c r="S202" s="3749" t="s">
        <v>66</v>
      </c>
      <c r="T202" s="2657" t="s">
        <v>2435</v>
      </c>
      <c r="U202" s="3765">
        <v>1</v>
      </c>
      <c r="V202" s="3771">
        <v>37692</v>
      </c>
      <c r="W202" s="3778" t="s">
        <v>145</v>
      </c>
      <c r="X202" s="4336" t="s">
        <v>631</v>
      </c>
      <c r="Y202" s="871">
        <f t="shared" ca="1" si="13"/>
        <v>14.772222222222222</v>
      </c>
      <c r="Z202" s="79">
        <v>190</v>
      </c>
    </row>
    <row r="203" spans="1:26" ht="14.1" customHeight="1" x14ac:dyDescent="0.25">
      <c r="A203" s="79"/>
      <c r="B203" s="964" t="s">
        <v>1103</v>
      </c>
      <c r="C203" s="1224" t="s">
        <v>1635</v>
      </c>
      <c r="D203" s="3689"/>
      <c r="E203" s="2254"/>
      <c r="F203" s="3782">
        <f t="shared" si="10"/>
        <v>135.29413045655804</v>
      </c>
      <c r="G203" s="3602"/>
      <c r="H203" s="3613"/>
      <c r="I203" s="815">
        <v>132483665</v>
      </c>
      <c r="J203" s="808">
        <v>555103236</v>
      </c>
      <c r="K203" s="781">
        <v>500965387</v>
      </c>
      <c r="L203" s="781">
        <v>292111030</v>
      </c>
      <c r="M203" s="781">
        <v>585659904</v>
      </c>
      <c r="N203" s="781">
        <v>464478633</v>
      </c>
      <c r="O203" s="781">
        <v>359126052</v>
      </c>
      <c r="P203" s="781">
        <v>37202616</v>
      </c>
      <c r="Q203" s="781">
        <v>217629314</v>
      </c>
      <c r="R203" s="3624" t="s">
        <v>102</v>
      </c>
      <c r="S203" s="3633" t="s">
        <v>66</v>
      </c>
      <c r="T203" s="2642" t="s">
        <v>2435</v>
      </c>
      <c r="U203" s="3645">
        <v>1</v>
      </c>
      <c r="V203" s="3651">
        <v>38439</v>
      </c>
      <c r="W203" s="3660" t="s">
        <v>76</v>
      </c>
      <c r="X203" s="4317" t="s">
        <v>143</v>
      </c>
      <c r="Y203" s="857">
        <f t="shared" ca="1" si="13"/>
        <v>12.727777777777778</v>
      </c>
      <c r="Z203" s="79"/>
    </row>
    <row r="204" spans="1:26" ht="14.1" customHeight="1" x14ac:dyDescent="0.2">
      <c r="A204" s="79">
        <v>192</v>
      </c>
      <c r="B204" s="2251" t="s">
        <v>1685</v>
      </c>
      <c r="C204" s="1224" t="s">
        <v>1235</v>
      </c>
      <c r="D204" s="1269" t="s">
        <v>40</v>
      </c>
      <c r="E204" s="1998" t="s">
        <v>2130</v>
      </c>
      <c r="F204" s="3782">
        <f t="shared" si="10"/>
        <v>135.5209005643413</v>
      </c>
      <c r="G204" s="3602"/>
      <c r="H204" s="3613"/>
      <c r="I204" s="808">
        <v>117485822</v>
      </c>
      <c r="J204" s="808">
        <v>533694947</v>
      </c>
      <c r="K204" s="808">
        <v>476848083</v>
      </c>
      <c r="L204" s="808">
        <v>358511710</v>
      </c>
      <c r="M204" s="808">
        <v>583842755</v>
      </c>
      <c r="N204" s="808">
        <v>484655640</v>
      </c>
      <c r="O204" s="781">
        <v>338963036</v>
      </c>
      <c r="P204" s="808">
        <v>38706701</v>
      </c>
      <c r="Q204" s="808">
        <v>230731198</v>
      </c>
      <c r="R204" s="3624" t="s">
        <v>112</v>
      </c>
      <c r="S204" s="3633" t="s">
        <v>66</v>
      </c>
      <c r="T204" s="2642" t="s">
        <v>2435</v>
      </c>
      <c r="U204" s="3645">
        <v>1</v>
      </c>
      <c r="V204" s="3651">
        <v>39042</v>
      </c>
      <c r="W204" s="3660" t="s">
        <v>71</v>
      </c>
      <c r="X204" s="4317" t="s">
        <v>135</v>
      </c>
      <c r="Y204" s="857">
        <f t="shared" ca="1" si="13"/>
        <v>11.080555555555556</v>
      </c>
      <c r="Z204" s="79">
        <v>192</v>
      </c>
    </row>
    <row r="205" spans="1:26" ht="14.1" customHeight="1" x14ac:dyDescent="0.25">
      <c r="A205" s="79"/>
      <c r="B205" s="3939" t="s">
        <v>1685</v>
      </c>
      <c r="C205" s="3809" t="s">
        <v>198</v>
      </c>
      <c r="D205" s="3210"/>
      <c r="E205" s="2001" t="s">
        <v>2130</v>
      </c>
      <c r="F205" s="3782">
        <f t="shared" ref="F205:F268" si="14">SUM(I205/I$11,J205/J$11,K205/K$11,L205/L$11,M205/M$11,N205/N$11,O205/O$11,P205/P$11,Q205/Q$11)/9*100+(G205/5000)+(IF(H205 = 0,G205,H205)/5000)</f>
        <v>135.60706452745529</v>
      </c>
      <c r="G205" s="3259"/>
      <c r="H205" s="3262"/>
      <c r="I205" s="863">
        <v>109098390</v>
      </c>
      <c r="J205" s="864">
        <v>577182253</v>
      </c>
      <c r="K205" s="864">
        <v>503636404</v>
      </c>
      <c r="L205" s="864">
        <v>319122704</v>
      </c>
      <c r="M205" s="864">
        <v>619656890</v>
      </c>
      <c r="N205" s="864">
        <v>509076696</v>
      </c>
      <c r="O205" s="864">
        <v>355077076</v>
      </c>
      <c r="P205" s="864">
        <v>40147922</v>
      </c>
      <c r="Q205" s="864">
        <v>209938100</v>
      </c>
      <c r="R205" s="3738" t="s">
        <v>199</v>
      </c>
      <c r="S205" s="4119" t="s">
        <v>66</v>
      </c>
      <c r="T205" s="2646" t="s">
        <v>2435</v>
      </c>
      <c r="U205" s="4164">
        <v>1</v>
      </c>
      <c r="V205" s="4191">
        <v>39342</v>
      </c>
      <c r="W205" s="3774" t="s">
        <v>73</v>
      </c>
      <c r="X205" s="4337" t="s">
        <v>2019</v>
      </c>
      <c r="Y205" s="866">
        <f t="shared" ca="1" si="13"/>
        <v>10.258333333333333</v>
      </c>
      <c r="Z205" s="79"/>
    </row>
    <row r="206" spans="1:26" ht="14.1" customHeight="1" x14ac:dyDescent="0.2">
      <c r="A206" s="79">
        <v>194</v>
      </c>
      <c r="B206" s="1808" t="s">
        <v>1103</v>
      </c>
      <c r="C206" s="2560" t="s">
        <v>1506</v>
      </c>
      <c r="D206" s="1273" t="s">
        <v>40</v>
      </c>
      <c r="E206" s="1998"/>
      <c r="F206" s="3782">
        <f t="shared" si="14"/>
        <v>135.62460231102415</v>
      </c>
      <c r="G206" s="2827">
        <f>174+224+259+487+235+71+397+180+702</f>
        <v>2729</v>
      </c>
      <c r="H206" s="4033"/>
      <c r="I206" s="822">
        <v>101371338</v>
      </c>
      <c r="J206" s="975">
        <v>541028511</v>
      </c>
      <c r="K206" s="868">
        <v>502790035</v>
      </c>
      <c r="L206" s="868">
        <v>343730280</v>
      </c>
      <c r="M206" s="868">
        <v>587069279</v>
      </c>
      <c r="N206" s="868">
        <v>489132534</v>
      </c>
      <c r="O206" s="868">
        <v>366782307</v>
      </c>
      <c r="P206" s="868">
        <v>39783290</v>
      </c>
      <c r="Q206" s="868">
        <v>225788556</v>
      </c>
      <c r="R206" s="2104" t="s">
        <v>717</v>
      </c>
      <c r="S206" s="1695" t="s">
        <v>66</v>
      </c>
      <c r="T206" s="2636" t="s">
        <v>2435</v>
      </c>
      <c r="U206" s="4149">
        <v>2</v>
      </c>
      <c r="V206" s="1492">
        <v>41558</v>
      </c>
      <c r="W206" s="870" t="s">
        <v>76</v>
      </c>
      <c r="X206" s="4291" t="s">
        <v>150</v>
      </c>
      <c r="Y206" s="871">
        <f t="shared" ca="1" si="13"/>
        <v>4.1916666666666664</v>
      </c>
      <c r="Z206" s="79">
        <v>194</v>
      </c>
    </row>
    <row r="207" spans="1:26" ht="14.1" customHeight="1" x14ac:dyDescent="0.25">
      <c r="A207" s="79"/>
      <c r="B207" s="3669" t="s">
        <v>1685</v>
      </c>
      <c r="C207" s="2363" t="s">
        <v>626</v>
      </c>
      <c r="D207" s="3688"/>
      <c r="E207" s="1997" t="s">
        <v>2130</v>
      </c>
      <c r="F207" s="3782">
        <f t="shared" si="14"/>
        <v>135.77141583829817</v>
      </c>
      <c r="G207" s="3698"/>
      <c r="H207" s="2752"/>
      <c r="I207" s="781">
        <v>110869723</v>
      </c>
      <c r="J207" s="781">
        <v>554530289</v>
      </c>
      <c r="K207" s="781">
        <v>497277050</v>
      </c>
      <c r="L207" s="781">
        <v>322003694</v>
      </c>
      <c r="M207" s="781">
        <v>577999596</v>
      </c>
      <c r="N207" s="781">
        <v>487619593</v>
      </c>
      <c r="O207" s="781">
        <v>353559564</v>
      </c>
      <c r="P207" s="781">
        <v>40773343</v>
      </c>
      <c r="Q207" s="781">
        <v>235134104</v>
      </c>
      <c r="R207" s="2256" t="s">
        <v>146</v>
      </c>
      <c r="S207" s="3870" t="s">
        <v>66</v>
      </c>
      <c r="T207" s="3754" t="s">
        <v>2435</v>
      </c>
      <c r="U207" s="2766">
        <v>1</v>
      </c>
      <c r="V207" s="2257">
        <v>39055</v>
      </c>
      <c r="W207" s="2258" t="s">
        <v>76</v>
      </c>
      <c r="X207" s="4284" t="s">
        <v>640</v>
      </c>
      <c r="Y207" s="857">
        <f t="shared" ca="1" si="13"/>
        <v>11.044444444444444</v>
      </c>
      <c r="Z207" s="79"/>
    </row>
    <row r="208" spans="1:26" ht="14.1" customHeight="1" x14ac:dyDescent="0.2">
      <c r="A208" s="79">
        <v>196</v>
      </c>
      <c r="B208" s="897" t="s">
        <v>1103</v>
      </c>
      <c r="C208" s="1218" t="s">
        <v>2093</v>
      </c>
      <c r="D208" s="1269" t="s">
        <v>40</v>
      </c>
      <c r="E208" s="1998"/>
      <c r="F208" s="3782">
        <f t="shared" si="14"/>
        <v>135.88970565394666</v>
      </c>
      <c r="G208" s="966">
        <f>120+72+80+189+68+27+124+159+236</f>
        <v>1075</v>
      </c>
      <c r="H208" s="943"/>
      <c r="I208" s="808">
        <v>102394236</v>
      </c>
      <c r="J208" s="808">
        <v>540716679</v>
      </c>
      <c r="K208" s="808">
        <v>504624459</v>
      </c>
      <c r="L208" s="808">
        <v>345485473</v>
      </c>
      <c r="M208" s="808">
        <v>587673637</v>
      </c>
      <c r="N208" s="808">
        <v>489219287</v>
      </c>
      <c r="O208" s="781">
        <v>368185284</v>
      </c>
      <c r="P208" s="808">
        <v>40222506</v>
      </c>
      <c r="Q208" s="902">
        <v>231095405</v>
      </c>
      <c r="R208" s="877" t="s">
        <v>717</v>
      </c>
      <c r="S208" s="878" t="s">
        <v>66</v>
      </c>
      <c r="T208" s="2640" t="s">
        <v>2435</v>
      </c>
      <c r="U208" s="2710">
        <v>2</v>
      </c>
      <c r="V208" s="880">
        <v>42263</v>
      </c>
      <c r="W208" s="881" t="s">
        <v>76</v>
      </c>
      <c r="X208" s="4285" t="s">
        <v>150</v>
      </c>
      <c r="Y208" s="857">
        <f t="shared" ca="1" si="13"/>
        <v>2.2611111111111111</v>
      </c>
      <c r="Z208" s="79">
        <v>196</v>
      </c>
    </row>
    <row r="209" spans="1:26" ht="14.1" customHeight="1" x14ac:dyDescent="0.25">
      <c r="A209" s="79"/>
      <c r="B209" s="114" t="s">
        <v>1685</v>
      </c>
      <c r="C209" s="1221" t="s">
        <v>581</v>
      </c>
      <c r="D209" s="1946"/>
      <c r="E209" s="1999" t="s">
        <v>2130</v>
      </c>
      <c r="F209" s="3782">
        <f t="shared" si="14"/>
        <v>135.89460290524909</v>
      </c>
      <c r="G209" s="2597">
        <f>203+347+362+295+249+124+59+234+207</f>
        <v>2080</v>
      </c>
      <c r="H209" s="115"/>
      <c r="I209" s="882">
        <v>121472516</v>
      </c>
      <c r="J209" s="883">
        <v>549068294</v>
      </c>
      <c r="K209" s="883">
        <v>520721113</v>
      </c>
      <c r="L209" s="883">
        <v>315675051</v>
      </c>
      <c r="M209" s="883">
        <v>606380453</v>
      </c>
      <c r="N209" s="883">
        <v>497258374</v>
      </c>
      <c r="O209" s="883">
        <v>339035221</v>
      </c>
      <c r="P209" s="883">
        <v>42970451</v>
      </c>
      <c r="Q209" s="883">
        <v>188782715</v>
      </c>
      <c r="R209" s="884" t="s">
        <v>580</v>
      </c>
      <c r="S209" s="116" t="s">
        <v>66</v>
      </c>
      <c r="T209" s="2641" t="s">
        <v>2435</v>
      </c>
      <c r="U209" s="117">
        <v>1</v>
      </c>
      <c r="V209" s="885">
        <v>40968</v>
      </c>
      <c r="W209" s="118" t="s">
        <v>2206</v>
      </c>
      <c r="X209" s="4294" t="s">
        <v>1314</v>
      </c>
      <c r="Y209" s="119">
        <f t="shared" ca="1" si="13"/>
        <v>5.8055555555555554</v>
      </c>
      <c r="Z209" s="79"/>
    </row>
    <row r="210" spans="1:26" ht="14.1" customHeight="1" x14ac:dyDescent="0.2">
      <c r="A210" s="79">
        <v>198</v>
      </c>
      <c r="B210" s="876" t="s">
        <v>1685</v>
      </c>
      <c r="C210" s="1220" t="s">
        <v>1814</v>
      </c>
      <c r="D210" s="1273" t="s">
        <v>40</v>
      </c>
      <c r="E210" s="1998" t="s">
        <v>2130</v>
      </c>
      <c r="F210" s="3782">
        <f t="shared" si="14"/>
        <v>136.00402773286498</v>
      </c>
      <c r="G210" s="1538">
        <f>130.7+344.7+331.1+366.4+361.8+288.3+304+80.6+415.5</f>
        <v>2623.1</v>
      </c>
      <c r="H210" s="951"/>
      <c r="I210" s="822">
        <v>97836100</v>
      </c>
      <c r="J210" s="886">
        <v>564089274</v>
      </c>
      <c r="K210" s="886">
        <v>500270017</v>
      </c>
      <c r="L210" s="886">
        <v>332803843</v>
      </c>
      <c r="M210" s="886">
        <v>591053546</v>
      </c>
      <c r="N210" s="886">
        <v>491168197</v>
      </c>
      <c r="O210" s="886">
        <v>374473845</v>
      </c>
      <c r="P210" s="886">
        <v>38949399</v>
      </c>
      <c r="Q210" s="886">
        <v>233335059</v>
      </c>
      <c r="R210" s="121" t="s">
        <v>136</v>
      </c>
      <c r="S210" s="120" t="s">
        <v>66</v>
      </c>
      <c r="T210" s="2636" t="s">
        <v>2435</v>
      </c>
      <c r="U210" s="122">
        <v>1</v>
      </c>
      <c r="V210" s="123">
        <v>42069</v>
      </c>
      <c r="W210" s="124" t="s">
        <v>71</v>
      </c>
      <c r="X210" s="4308" t="s">
        <v>547</v>
      </c>
      <c r="Y210" s="104">
        <f t="shared" ca="1" si="13"/>
        <v>2.7888888888888888</v>
      </c>
      <c r="Z210" s="79">
        <v>198</v>
      </c>
    </row>
    <row r="211" spans="1:26" ht="14.1" customHeight="1" x14ac:dyDescent="0.25">
      <c r="A211" s="79"/>
      <c r="B211" s="107" t="s">
        <v>1103</v>
      </c>
      <c r="C211" s="1219" t="s">
        <v>1636</v>
      </c>
      <c r="D211" s="1751"/>
      <c r="E211" s="1999"/>
      <c r="F211" s="3782">
        <f t="shared" si="14"/>
        <v>136.05037908239274</v>
      </c>
      <c r="G211" s="109"/>
      <c r="H211" s="110"/>
      <c r="I211" s="836">
        <v>110430818</v>
      </c>
      <c r="J211" s="837">
        <v>554300084</v>
      </c>
      <c r="K211" s="837">
        <v>483264629</v>
      </c>
      <c r="L211" s="837">
        <v>321530074</v>
      </c>
      <c r="M211" s="837">
        <v>591545645</v>
      </c>
      <c r="N211" s="837">
        <v>486662941</v>
      </c>
      <c r="O211" s="780">
        <v>346090379</v>
      </c>
      <c r="P211" s="837">
        <v>49784479</v>
      </c>
      <c r="Q211" s="837">
        <v>203090900</v>
      </c>
      <c r="R211" s="126" t="s">
        <v>87</v>
      </c>
      <c r="S211" s="125" t="s">
        <v>66</v>
      </c>
      <c r="T211" s="2635" t="s">
        <v>2435</v>
      </c>
      <c r="U211" s="112">
        <v>1</v>
      </c>
      <c r="V211" s="127">
        <v>39247</v>
      </c>
      <c r="W211" s="128" t="s">
        <v>71</v>
      </c>
      <c r="X211" s="4306" t="s">
        <v>638</v>
      </c>
      <c r="Y211" s="113">
        <f t="shared" ca="1" si="13"/>
        <v>10.516666666666667</v>
      </c>
      <c r="Z211" s="79"/>
    </row>
    <row r="212" spans="1:26" ht="14.1" customHeight="1" x14ac:dyDescent="0.2">
      <c r="A212" s="79">
        <v>200</v>
      </c>
      <c r="B212" s="908" t="s">
        <v>1685</v>
      </c>
      <c r="C212" s="1225" t="s">
        <v>1196</v>
      </c>
      <c r="D212" s="1269" t="s">
        <v>40</v>
      </c>
      <c r="E212" s="1998"/>
      <c r="F212" s="3782">
        <f t="shared" si="14"/>
        <v>136.07312297156281</v>
      </c>
      <c r="G212" s="974">
        <f>256+306+264+287+718+320+311+158+407</f>
        <v>3027</v>
      </c>
      <c r="H212" s="917"/>
      <c r="I212" s="840">
        <v>123336683</v>
      </c>
      <c r="J212" s="837">
        <v>438292318</v>
      </c>
      <c r="K212" s="837">
        <v>484427499</v>
      </c>
      <c r="L212" s="780">
        <v>328148602</v>
      </c>
      <c r="M212" s="780">
        <v>589735432</v>
      </c>
      <c r="N212" s="780">
        <v>486426165</v>
      </c>
      <c r="O212" s="780">
        <v>316830908</v>
      </c>
      <c r="P212" s="780">
        <v>54023607</v>
      </c>
      <c r="Q212" s="780">
        <v>202807804</v>
      </c>
      <c r="R212" s="918" t="s">
        <v>180</v>
      </c>
      <c r="S212" s="919" t="s">
        <v>66</v>
      </c>
      <c r="T212" s="2640" t="s">
        <v>2435</v>
      </c>
      <c r="U212" s="956">
        <v>1</v>
      </c>
      <c r="V212" s="920">
        <v>37574</v>
      </c>
      <c r="W212" s="921" t="s">
        <v>181</v>
      </c>
      <c r="X212" s="4309" t="s">
        <v>148</v>
      </c>
      <c r="Y212" s="113">
        <f t="shared" ca="1" si="13"/>
        <v>15.1</v>
      </c>
      <c r="Z212" s="79">
        <v>200</v>
      </c>
    </row>
    <row r="213" spans="1:26" ht="14.1" customHeight="1" x14ac:dyDescent="0.2">
      <c r="A213" s="79"/>
      <c r="B213" s="972" t="s">
        <v>1685</v>
      </c>
      <c r="C213" s="3972" t="s">
        <v>2439</v>
      </c>
      <c r="D213" s="1944" t="s">
        <v>40</v>
      </c>
      <c r="E213" s="1999" t="s">
        <v>2130</v>
      </c>
      <c r="F213" s="3782">
        <f t="shared" si="14"/>
        <v>136.11412255580595</v>
      </c>
      <c r="G213" s="2597">
        <f>306.1+906.93+899.76+816.75+991.21+869.87+802.84+136.98+857.66</f>
        <v>6588.0999999999995</v>
      </c>
      <c r="H213" s="115"/>
      <c r="I213" s="976">
        <v>108646350</v>
      </c>
      <c r="J213" s="913">
        <v>536466702</v>
      </c>
      <c r="K213" s="913">
        <v>483493149</v>
      </c>
      <c r="L213" s="913">
        <v>323477636</v>
      </c>
      <c r="M213" s="913">
        <v>588641114</v>
      </c>
      <c r="N213" s="913">
        <v>485650311</v>
      </c>
      <c r="O213" s="883">
        <v>326935323</v>
      </c>
      <c r="P213" s="913">
        <v>43184421</v>
      </c>
      <c r="Q213" s="913">
        <v>222462873</v>
      </c>
      <c r="R213" s="884" t="s">
        <v>2440</v>
      </c>
      <c r="S213" s="116" t="s">
        <v>66</v>
      </c>
      <c r="T213" s="2641" t="s">
        <v>2435</v>
      </c>
      <c r="U213" s="117">
        <v>1</v>
      </c>
      <c r="V213" s="885">
        <v>38765</v>
      </c>
      <c r="W213" s="118" t="s">
        <v>71</v>
      </c>
      <c r="X213" s="4294" t="s">
        <v>2019</v>
      </c>
      <c r="Y213" s="119">
        <f t="shared" ca="1" si="13"/>
        <v>11.841666666666667</v>
      </c>
      <c r="Z213" s="79"/>
    </row>
    <row r="214" spans="1:26" ht="14.1" customHeight="1" x14ac:dyDescent="0.2">
      <c r="A214" s="79">
        <v>202</v>
      </c>
      <c r="B214" s="103" t="s">
        <v>1685</v>
      </c>
      <c r="C214" s="1229" t="s">
        <v>1418</v>
      </c>
      <c r="D214" s="1273" t="s">
        <v>40</v>
      </c>
      <c r="E214" s="1998" t="s">
        <v>2130</v>
      </c>
      <c r="F214" s="3782">
        <f t="shared" si="14"/>
        <v>136.27907025659957</v>
      </c>
      <c r="G214" s="914">
        <f>132.7+473.4+517.1+407.3+354.9+295.2+403.7+71.2+524.8</f>
        <v>3180.2999999999993</v>
      </c>
      <c r="H214" s="967"/>
      <c r="I214" s="822">
        <v>103283915</v>
      </c>
      <c r="J214" s="886">
        <v>553885305</v>
      </c>
      <c r="K214" s="886">
        <v>535105797</v>
      </c>
      <c r="L214" s="886">
        <v>322560032</v>
      </c>
      <c r="M214" s="886">
        <v>588229478</v>
      </c>
      <c r="N214" s="886">
        <v>490041425</v>
      </c>
      <c r="O214" s="886">
        <v>390529976</v>
      </c>
      <c r="P214" s="886">
        <v>40415543</v>
      </c>
      <c r="Q214" s="886">
        <v>207170626</v>
      </c>
      <c r="R214" s="121" t="s">
        <v>1851</v>
      </c>
      <c r="S214" s="120" t="s">
        <v>66</v>
      </c>
      <c r="T214" s="2636" t="s">
        <v>2435</v>
      </c>
      <c r="U214" s="2706">
        <v>2</v>
      </c>
      <c r="V214" s="123">
        <v>41260</v>
      </c>
      <c r="W214" s="124" t="s">
        <v>74</v>
      </c>
      <c r="X214" s="4308" t="s">
        <v>237</v>
      </c>
      <c r="Y214" s="104">
        <f t="shared" ca="1" si="13"/>
        <v>5.0083333333333337</v>
      </c>
      <c r="Z214" s="79">
        <v>202</v>
      </c>
    </row>
    <row r="215" spans="1:26" ht="14.1" customHeight="1" x14ac:dyDescent="0.2">
      <c r="A215" s="79"/>
      <c r="B215" s="901" t="s">
        <v>1685</v>
      </c>
      <c r="C215" s="1222" t="s">
        <v>618</v>
      </c>
      <c r="D215" s="1269" t="s">
        <v>40</v>
      </c>
      <c r="E215" s="1999" t="s">
        <v>2130</v>
      </c>
      <c r="F215" s="3782">
        <f t="shared" si="14"/>
        <v>136.5163207867169</v>
      </c>
      <c r="G215" s="957"/>
      <c r="H215" s="958"/>
      <c r="I215" s="836">
        <v>116084065</v>
      </c>
      <c r="J215" s="837">
        <v>552379360</v>
      </c>
      <c r="K215" s="837">
        <v>485807422</v>
      </c>
      <c r="L215" s="837">
        <v>328621553</v>
      </c>
      <c r="M215" s="837">
        <v>591539735</v>
      </c>
      <c r="N215" s="837">
        <v>488607350</v>
      </c>
      <c r="O215" s="780">
        <v>329115175</v>
      </c>
      <c r="P215" s="837">
        <v>43421921</v>
      </c>
      <c r="Q215" s="837">
        <v>231513058</v>
      </c>
      <c r="R215" s="959" t="s">
        <v>187</v>
      </c>
      <c r="S215" s="960" t="s">
        <v>66</v>
      </c>
      <c r="T215" s="2645" t="s">
        <v>2435</v>
      </c>
      <c r="U215" s="961">
        <v>1</v>
      </c>
      <c r="V215" s="962">
        <v>38029</v>
      </c>
      <c r="W215" s="963" t="s">
        <v>71</v>
      </c>
      <c r="X215" s="4331" t="s">
        <v>188</v>
      </c>
      <c r="Y215" s="113">
        <f t="shared" ca="1" si="13"/>
        <v>13.855555555555556</v>
      </c>
      <c r="Z215" s="79"/>
    </row>
    <row r="216" spans="1:26" ht="14.1" customHeight="1" x14ac:dyDescent="0.25">
      <c r="A216" s="79">
        <v>204</v>
      </c>
      <c r="B216" s="901" t="s">
        <v>1685</v>
      </c>
      <c r="C216" s="1222" t="s">
        <v>1272</v>
      </c>
      <c r="D216" s="1947"/>
      <c r="E216" s="2004"/>
      <c r="F216" s="3782">
        <f t="shared" si="14"/>
        <v>136.52470972175666</v>
      </c>
      <c r="G216" s="957"/>
      <c r="H216" s="958"/>
      <c r="I216" s="780">
        <v>102719665</v>
      </c>
      <c r="J216" s="780">
        <v>513118775</v>
      </c>
      <c r="K216" s="780">
        <v>513069462</v>
      </c>
      <c r="L216" s="780">
        <v>343802663</v>
      </c>
      <c r="M216" s="780">
        <v>589974074</v>
      </c>
      <c r="N216" s="780">
        <v>489721065</v>
      </c>
      <c r="O216" s="780">
        <v>375101598</v>
      </c>
      <c r="P216" s="780">
        <v>40194727</v>
      </c>
      <c r="Q216" s="780">
        <v>249399841</v>
      </c>
      <c r="R216" s="959" t="s">
        <v>205</v>
      </c>
      <c r="S216" s="960" t="s">
        <v>66</v>
      </c>
      <c r="T216" s="2645" t="s">
        <v>2435</v>
      </c>
      <c r="U216" s="961">
        <v>1</v>
      </c>
      <c r="V216" s="962">
        <v>35855</v>
      </c>
      <c r="W216" s="963" t="s">
        <v>71</v>
      </c>
      <c r="X216" s="4331" t="s">
        <v>642</v>
      </c>
      <c r="Y216" s="113">
        <f t="shared" ca="1" si="13"/>
        <v>19.802777777777777</v>
      </c>
      <c r="Z216" s="79">
        <v>204</v>
      </c>
    </row>
    <row r="217" spans="1:26" ht="14.1" customHeight="1" x14ac:dyDescent="0.25">
      <c r="A217" s="79"/>
      <c r="B217" s="949" t="s">
        <v>1685</v>
      </c>
      <c r="C217" s="1496" t="s">
        <v>1419</v>
      </c>
      <c r="D217" s="3596"/>
      <c r="E217" s="2000" t="s">
        <v>2130</v>
      </c>
      <c r="F217" s="3782">
        <f t="shared" si="14"/>
        <v>136.93155255472197</v>
      </c>
      <c r="G217" s="1491"/>
      <c r="H217" s="1491"/>
      <c r="I217" s="976">
        <v>114362276</v>
      </c>
      <c r="J217" s="883">
        <v>445542140</v>
      </c>
      <c r="K217" s="913">
        <v>533919363</v>
      </c>
      <c r="L217" s="913">
        <v>342106542</v>
      </c>
      <c r="M217" s="913">
        <v>586814539</v>
      </c>
      <c r="N217" s="913">
        <v>486559188</v>
      </c>
      <c r="O217" s="883">
        <v>403704171</v>
      </c>
      <c r="P217" s="913">
        <v>43088775</v>
      </c>
      <c r="Q217" s="913">
        <v>226317389</v>
      </c>
      <c r="R217" s="2291" t="s">
        <v>210</v>
      </c>
      <c r="S217" s="2293" t="s">
        <v>66</v>
      </c>
      <c r="T217" s="2929" t="s">
        <v>2435</v>
      </c>
      <c r="U217" s="2295">
        <v>1</v>
      </c>
      <c r="V217" s="4192">
        <v>35938</v>
      </c>
      <c r="W217" s="2299" t="s">
        <v>98</v>
      </c>
      <c r="X217" s="4332" t="s">
        <v>211</v>
      </c>
      <c r="Y217" s="119">
        <f t="shared" ca="1" si="13"/>
        <v>19.574999999999999</v>
      </c>
      <c r="Z217" s="79"/>
    </row>
    <row r="218" spans="1:26" ht="14.1" customHeight="1" x14ac:dyDescent="0.2">
      <c r="A218" s="79">
        <v>206</v>
      </c>
      <c r="B218" s="103" t="s">
        <v>1685</v>
      </c>
      <c r="C218" s="1220" t="s">
        <v>699</v>
      </c>
      <c r="D218" s="1273" t="s">
        <v>40</v>
      </c>
      <c r="E218" s="1998" t="s">
        <v>2130</v>
      </c>
      <c r="F218" s="3782">
        <f t="shared" si="14"/>
        <v>136.96984289768059</v>
      </c>
      <c r="G218" s="914">
        <f>102+481+476+302+369+306+221+56+304</f>
        <v>2617</v>
      </c>
      <c r="H218" s="967"/>
      <c r="I218" s="886">
        <v>118265223</v>
      </c>
      <c r="J218" s="886">
        <v>553408878</v>
      </c>
      <c r="K218" s="895">
        <v>490378418</v>
      </c>
      <c r="L218" s="895">
        <v>323627864</v>
      </c>
      <c r="M218" s="895">
        <v>596725401</v>
      </c>
      <c r="N218" s="895">
        <v>490228655</v>
      </c>
      <c r="O218" s="886">
        <v>336738043</v>
      </c>
      <c r="P218" s="895">
        <v>42120765</v>
      </c>
      <c r="Q218" s="895">
        <v>220140448</v>
      </c>
      <c r="R218" s="121" t="s">
        <v>696</v>
      </c>
      <c r="S218" s="120" t="s">
        <v>66</v>
      </c>
      <c r="T218" s="2636" t="s">
        <v>2435</v>
      </c>
      <c r="U218" s="122">
        <v>1</v>
      </c>
      <c r="V218" s="3892">
        <v>36588</v>
      </c>
      <c r="W218" s="124" t="s">
        <v>697</v>
      </c>
      <c r="X218" s="4308" t="s">
        <v>698</v>
      </c>
      <c r="Y218" s="104">
        <f t="shared" ca="1" si="13"/>
        <v>17.797222222222221</v>
      </c>
      <c r="Z218" s="79">
        <v>206</v>
      </c>
    </row>
    <row r="219" spans="1:26" ht="14.1" customHeight="1" x14ac:dyDescent="0.2">
      <c r="A219" s="79"/>
      <c r="B219" s="98" t="s">
        <v>1685</v>
      </c>
      <c r="C219" s="1222" t="s">
        <v>2606</v>
      </c>
      <c r="D219" s="1269" t="s">
        <v>40</v>
      </c>
      <c r="E219" s="1999" t="s">
        <v>2130</v>
      </c>
      <c r="F219" s="3782">
        <f t="shared" si="14"/>
        <v>137.06625040969848</v>
      </c>
      <c r="G219" s="109"/>
      <c r="H219" s="110"/>
      <c r="I219" s="780">
        <v>121950876</v>
      </c>
      <c r="J219" s="837">
        <v>561177708</v>
      </c>
      <c r="K219" s="780">
        <v>498174723</v>
      </c>
      <c r="L219" s="780">
        <v>326837528</v>
      </c>
      <c r="M219" s="780">
        <v>588953840</v>
      </c>
      <c r="N219" s="780">
        <v>486279803</v>
      </c>
      <c r="O219" s="780">
        <v>342462021</v>
      </c>
      <c r="P219" s="780">
        <v>42696633</v>
      </c>
      <c r="Q219" s="780">
        <v>217369080</v>
      </c>
      <c r="R219" s="126" t="s">
        <v>517</v>
      </c>
      <c r="S219" s="125" t="s">
        <v>66</v>
      </c>
      <c r="T219" s="2638" t="s">
        <v>2435</v>
      </c>
      <c r="U219" s="112">
        <v>1</v>
      </c>
      <c r="V219" s="127">
        <v>36756</v>
      </c>
      <c r="W219" s="128" t="s">
        <v>71</v>
      </c>
      <c r="X219" s="4306" t="s">
        <v>520</v>
      </c>
      <c r="Y219" s="113">
        <f t="shared" ca="1" si="13"/>
        <v>17.338888888888889</v>
      </c>
      <c r="Z219" s="79"/>
    </row>
    <row r="220" spans="1:26" ht="14.1" customHeight="1" x14ac:dyDescent="0.25">
      <c r="A220" s="79">
        <v>208</v>
      </c>
      <c r="B220" s="98" t="s">
        <v>1685</v>
      </c>
      <c r="C220" s="1219" t="s">
        <v>213</v>
      </c>
      <c r="D220" s="1751"/>
      <c r="E220" s="1998" t="s">
        <v>2130</v>
      </c>
      <c r="F220" s="3782">
        <f t="shared" si="14"/>
        <v>137.1274163774757</v>
      </c>
      <c r="G220" s="109"/>
      <c r="H220" s="110"/>
      <c r="I220" s="836">
        <v>110651611</v>
      </c>
      <c r="J220" s="837">
        <v>568453994</v>
      </c>
      <c r="K220" s="837">
        <v>507597894</v>
      </c>
      <c r="L220" s="837">
        <v>335409915</v>
      </c>
      <c r="M220" s="837">
        <v>616539883</v>
      </c>
      <c r="N220" s="837">
        <v>507825102</v>
      </c>
      <c r="O220" s="780">
        <v>342211788</v>
      </c>
      <c r="P220" s="837">
        <v>42130986</v>
      </c>
      <c r="Q220" s="837">
        <v>218846099</v>
      </c>
      <c r="R220" s="126" t="s">
        <v>130</v>
      </c>
      <c r="S220" s="125" t="s">
        <v>66</v>
      </c>
      <c r="T220" s="2638" t="s">
        <v>2435</v>
      </c>
      <c r="U220" s="112">
        <v>1</v>
      </c>
      <c r="V220" s="127">
        <v>39507</v>
      </c>
      <c r="W220" s="128" t="s">
        <v>214</v>
      </c>
      <c r="X220" s="4306" t="s">
        <v>2019</v>
      </c>
      <c r="Y220" s="113">
        <f t="shared" ca="1" si="13"/>
        <v>9.8055555555555554</v>
      </c>
      <c r="Z220" s="79">
        <v>208</v>
      </c>
    </row>
    <row r="221" spans="1:26" ht="14.1" customHeight="1" x14ac:dyDescent="0.25">
      <c r="A221" s="79"/>
      <c r="B221" s="114" t="s">
        <v>1685</v>
      </c>
      <c r="C221" s="1223" t="s">
        <v>1273</v>
      </c>
      <c r="D221" s="1946"/>
      <c r="E221" s="1999" t="s">
        <v>2130</v>
      </c>
      <c r="F221" s="3782">
        <f t="shared" si="14"/>
        <v>137.27979653643391</v>
      </c>
      <c r="G221" s="115"/>
      <c r="H221" s="115"/>
      <c r="I221" s="883">
        <v>129072891</v>
      </c>
      <c r="J221" s="883">
        <v>538384498</v>
      </c>
      <c r="K221" s="883">
        <v>494571779</v>
      </c>
      <c r="L221" s="883">
        <v>304145889</v>
      </c>
      <c r="M221" s="883">
        <v>591972098</v>
      </c>
      <c r="N221" s="883">
        <v>484739970</v>
      </c>
      <c r="O221" s="883">
        <v>311474285</v>
      </c>
      <c r="P221" s="883">
        <v>57000521</v>
      </c>
      <c r="Q221" s="883">
        <v>178185035</v>
      </c>
      <c r="R221" s="892" t="s">
        <v>159</v>
      </c>
      <c r="S221" s="925" t="s">
        <v>66</v>
      </c>
      <c r="T221" s="2656" t="s">
        <v>2435</v>
      </c>
      <c r="U221" s="926">
        <v>1</v>
      </c>
      <c r="V221" s="893">
        <v>39646</v>
      </c>
      <c r="W221" s="894" t="s">
        <v>76</v>
      </c>
      <c r="X221" s="4322" t="s">
        <v>1315</v>
      </c>
      <c r="Y221" s="119">
        <f t="shared" ca="1" si="13"/>
        <v>9.4250000000000007</v>
      </c>
      <c r="Z221" s="79"/>
    </row>
    <row r="222" spans="1:26" ht="14.1" customHeight="1" x14ac:dyDescent="0.2">
      <c r="A222" s="79">
        <v>210</v>
      </c>
      <c r="B222" s="876" t="s">
        <v>1685</v>
      </c>
      <c r="C222" s="2156" t="s">
        <v>2265</v>
      </c>
      <c r="D222" s="1273" t="s">
        <v>40</v>
      </c>
      <c r="E222" s="1998" t="s">
        <v>2130</v>
      </c>
      <c r="F222" s="3782">
        <f t="shared" si="14"/>
        <v>137.4798049129827</v>
      </c>
      <c r="G222" s="1538">
        <f>36.4+52.8+59.8+121.6+59.6+50.1+93+31.5+185.8</f>
        <v>690.60000000000014</v>
      </c>
      <c r="H222" s="951"/>
      <c r="I222" s="802">
        <v>100174248</v>
      </c>
      <c r="J222" s="895">
        <v>573526032</v>
      </c>
      <c r="K222" s="895">
        <v>517110405</v>
      </c>
      <c r="L222" s="895">
        <v>325447663</v>
      </c>
      <c r="M222" s="895">
        <v>582067369</v>
      </c>
      <c r="N222" s="895">
        <v>487337133</v>
      </c>
      <c r="O222" s="886">
        <v>406089030</v>
      </c>
      <c r="P222" s="895">
        <v>40065600</v>
      </c>
      <c r="Q222" s="895">
        <v>233380682</v>
      </c>
      <c r="R222" s="952" t="s">
        <v>1961</v>
      </c>
      <c r="S222" s="2719" t="s">
        <v>62</v>
      </c>
      <c r="T222" s="2738" t="s">
        <v>2435</v>
      </c>
      <c r="U222" s="2720">
        <v>8</v>
      </c>
      <c r="V222" s="973">
        <v>42809</v>
      </c>
      <c r="W222" s="955" t="s">
        <v>181</v>
      </c>
      <c r="X222" s="4295" t="s">
        <v>1797</v>
      </c>
      <c r="Y222" s="104">
        <f t="shared" ca="1" si="13"/>
        <v>0.76388888888888884</v>
      </c>
      <c r="Z222" s="79">
        <v>210</v>
      </c>
    </row>
    <row r="223" spans="1:26" ht="14.1" customHeight="1" x14ac:dyDescent="0.2">
      <c r="A223" s="79"/>
      <c r="B223" s="901" t="s">
        <v>1685</v>
      </c>
      <c r="C223" s="1217" t="s">
        <v>1224</v>
      </c>
      <c r="D223" s="1269" t="s">
        <v>40</v>
      </c>
      <c r="E223" s="1999" t="s">
        <v>2130</v>
      </c>
      <c r="F223" s="3782">
        <f t="shared" si="14"/>
        <v>137.50837430066761</v>
      </c>
      <c r="G223" s="108"/>
      <c r="H223" s="111"/>
      <c r="I223" s="840">
        <v>100081335</v>
      </c>
      <c r="J223" s="780">
        <v>524447517</v>
      </c>
      <c r="K223" s="837">
        <v>527069916</v>
      </c>
      <c r="L223" s="837">
        <v>333150702</v>
      </c>
      <c r="M223" s="837">
        <v>578726025</v>
      </c>
      <c r="N223" s="837">
        <v>489265917</v>
      </c>
      <c r="O223" s="780">
        <v>430726087</v>
      </c>
      <c r="P223" s="780">
        <v>41730836</v>
      </c>
      <c r="Q223" s="837">
        <v>230205985</v>
      </c>
      <c r="R223" s="126" t="s">
        <v>165</v>
      </c>
      <c r="S223" s="125" t="s">
        <v>66</v>
      </c>
      <c r="T223" s="2635" t="s">
        <v>2435</v>
      </c>
      <c r="U223" s="112">
        <v>1</v>
      </c>
      <c r="V223" s="127">
        <v>41401</v>
      </c>
      <c r="W223" s="128" t="s">
        <v>2215</v>
      </c>
      <c r="X223" s="4338" t="s">
        <v>97</v>
      </c>
      <c r="Y223" s="113">
        <f t="shared" ca="1" si="13"/>
        <v>4.6194444444444445</v>
      </c>
      <c r="Z223" s="79"/>
    </row>
    <row r="224" spans="1:26" ht="14.1" customHeight="1" x14ac:dyDescent="0.25">
      <c r="A224" s="79">
        <v>212</v>
      </c>
      <c r="B224" s="915" t="s">
        <v>1103</v>
      </c>
      <c r="C224" s="1225" t="s">
        <v>200</v>
      </c>
      <c r="D224" s="1952"/>
      <c r="E224" s="2002"/>
      <c r="F224" s="3782">
        <f t="shared" si="14"/>
        <v>137.62765292149655</v>
      </c>
      <c r="G224" s="916"/>
      <c r="H224" s="917"/>
      <c r="I224" s="840">
        <v>106320489</v>
      </c>
      <c r="J224" s="837">
        <v>497307336</v>
      </c>
      <c r="K224" s="780">
        <v>495905291</v>
      </c>
      <c r="L224" s="780">
        <v>348857758</v>
      </c>
      <c r="M224" s="780">
        <v>586746309</v>
      </c>
      <c r="N224" s="780">
        <v>487311676</v>
      </c>
      <c r="O224" s="780">
        <v>353434522</v>
      </c>
      <c r="P224" s="780">
        <v>46968355</v>
      </c>
      <c r="Q224" s="780">
        <v>247354226</v>
      </c>
      <c r="R224" s="918" t="s">
        <v>201</v>
      </c>
      <c r="S224" s="919" t="s">
        <v>66</v>
      </c>
      <c r="T224" s="2640" t="s">
        <v>2435</v>
      </c>
      <c r="U224" s="956">
        <v>1</v>
      </c>
      <c r="V224" s="977">
        <v>37420</v>
      </c>
      <c r="W224" s="921" t="s">
        <v>202</v>
      </c>
      <c r="X224" s="4309" t="s">
        <v>203</v>
      </c>
      <c r="Y224" s="113">
        <f t="shared" ca="1" si="13"/>
        <v>15.519444444444444</v>
      </c>
      <c r="Z224" s="79">
        <v>212</v>
      </c>
    </row>
    <row r="225" spans="1:26" ht="14.1" customHeight="1" x14ac:dyDescent="0.2">
      <c r="A225" s="79"/>
      <c r="B225" s="949" t="s">
        <v>1685</v>
      </c>
      <c r="C225" s="1221" t="s">
        <v>1237</v>
      </c>
      <c r="D225" s="1944" t="s">
        <v>40</v>
      </c>
      <c r="E225" s="1999" t="s">
        <v>2130</v>
      </c>
      <c r="F225" s="3782">
        <f t="shared" si="14"/>
        <v>137.65438828993223</v>
      </c>
      <c r="G225" s="1491"/>
      <c r="H225" s="1491"/>
      <c r="I225" s="883">
        <v>105751232</v>
      </c>
      <c r="J225" s="883">
        <v>550179090</v>
      </c>
      <c r="K225" s="883">
        <v>497208340</v>
      </c>
      <c r="L225" s="883">
        <v>343638380</v>
      </c>
      <c r="M225" s="883">
        <v>585087868</v>
      </c>
      <c r="N225" s="883">
        <v>484798415</v>
      </c>
      <c r="O225" s="883">
        <v>375780413</v>
      </c>
      <c r="P225" s="883">
        <v>41277843</v>
      </c>
      <c r="Q225" s="883">
        <v>244639021</v>
      </c>
      <c r="R225" s="2291" t="s">
        <v>124</v>
      </c>
      <c r="S225" s="2293" t="s">
        <v>66</v>
      </c>
      <c r="T225" s="2650" t="s">
        <v>2435</v>
      </c>
      <c r="U225" s="2295">
        <v>1</v>
      </c>
      <c r="V225" s="2297">
        <v>39179</v>
      </c>
      <c r="W225" s="2299" t="s">
        <v>71</v>
      </c>
      <c r="X225" s="4332" t="s">
        <v>625</v>
      </c>
      <c r="Y225" s="119">
        <f t="shared" ca="1" si="13"/>
        <v>10.702777777777778</v>
      </c>
      <c r="Z225" s="79"/>
    </row>
    <row r="226" spans="1:26" ht="14.1" customHeight="1" x14ac:dyDescent="0.2">
      <c r="A226" s="79">
        <v>214</v>
      </c>
      <c r="B226" s="2285" t="s">
        <v>1103</v>
      </c>
      <c r="C226" s="2559" t="s">
        <v>1274</v>
      </c>
      <c r="D226" s="1273" t="s">
        <v>40</v>
      </c>
      <c r="E226" s="1998"/>
      <c r="F226" s="3782">
        <f t="shared" si="14"/>
        <v>137.70314876656548</v>
      </c>
      <c r="G226" s="2561"/>
      <c r="H226" s="2561"/>
      <c r="I226" s="802">
        <v>93620276</v>
      </c>
      <c r="J226" s="895">
        <v>541634196</v>
      </c>
      <c r="K226" s="895">
        <v>502878621</v>
      </c>
      <c r="L226" s="895">
        <v>330433967</v>
      </c>
      <c r="M226" s="895">
        <v>587404096</v>
      </c>
      <c r="N226" s="895">
        <v>490515110</v>
      </c>
      <c r="O226" s="886">
        <v>366121355</v>
      </c>
      <c r="P226" s="895">
        <v>53677513</v>
      </c>
      <c r="Q226" s="895">
        <v>224464582</v>
      </c>
      <c r="R226" s="2562" t="s">
        <v>80</v>
      </c>
      <c r="S226" s="2563" t="s">
        <v>66</v>
      </c>
      <c r="T226" s="2655" t="s">
        <v>2435</v>
      </c>
      <c r="U226" s="2564">
        <v>1</v>
      </c>
      <c r="V226" s="2565">
        <v>37667</v>
      </c>
      <c r="W226" s="2566" t="s">
        <v>71</v>
      </c>
      <c r="X226" s="4319" t="s">
        <v>177</v>
      </c>
      <c r="Y226" s="104">
        <f t="shared" ca="1" si="13"/>
        <v>14.847222222222221</v>
      </c>
      <c r="Z226" s="79">
        <v>214</v>
      </c>
    </row>
    <row r="227" spans="1:26" ht="14.1" customHeight="1" x14ac:dyDescent="0.2">
      <c r="A227" s="79"/>
      <c r="B227" s="928" t="s">
        <v>1685</v>
      </c>
      <c r="C227" s="1228" t="s">
        <v>1677</v>
      </c>
      <c r="D227" s="1269" t="s">
        <v>40</v>
      </c>
      <c r="E227" s="1999" t="s">
        <v>2130</v>
      </c>
      <c r="F227" s="3782">
        <f t="shared" si="14"/>
        <v>137.87460851811579</v>
      </c>
      <c r="G227" s="1855"/>
      <c r="H227" s="968"/>
      <c r="I227" s="840">
        <v>116859167</v>
      </c>
      <c r="J227" s="780">
        <v>555345940</v>
      </c>
      <c r="K227" s="780">
        <v>525993776</v>
      </c>
      <c r="L227" s="780">
        <v>310283217</v>
      </c>
      <c r="M227" s="780">
        <v>597006214</v>
      </c>
      <c r="N227" s="780">
        <v>494438297</v>
      </c>
      <c r="O227" s="780">
        <v>364732516</v>
      </c>
      <c r="P227" s="780">
        <v>43173815</v>
      </c>
      <c r="Q227" s="780">
        <v>221543869</v>
      </c>
      <c r="R227" s="969" t="s">
        <v>173</v>
      </c>
      <c r="S227" s="970" t="s">
        <v>66</v>
      </c>
      <c r="T227" s="2653" t="s">
        <v>2435</v>
      </c>
      <c r="U227" s="1511">
        <v>1</v>
      </c>
      <c r="V227" s="1671">
        <v>39179</v>
      </c>
      <c r="W227" s="971" t="s">
        <v>2207</v>
      </c>
      <c r="X227" s="4334" t="s">
        <v>644</v>
      </c>
      <c r="Y227" s="113">
        <f t="shared" ca="1" si="13"/>
        <v>10.702777777777778</v>
      </c>
      <c r="Z227" s="79"/>
    </row>
    <row r="228" spans="1:26" ht="14.1" customHeight="1" x14ac:dyDescent="0.2">
      <c r="A228" s="79">
        <v>216</v>
      </c>
      <c r="B228" s="98" t="s">
        <v>1685</v>
      </c>
      <c r="C228" s="1217" t="s">
        <v>1676</v>
      </c>
      <c r="D228" s="1269"/>
      <c r="E228" s="1998"/>
      <c r="F228" s="3782">
        <f t="shared" si="14"/>
        <v>137.95520994391941</v>
      </c>
      <c r="G228" s="108">
        <f>109.8+383.2+396.9+304.1+481.5+366.7+309.9+50.4+266.6</f>
        <v>2669.1</v>
      </c>
      <c r="H228" s="110"/>
      <c r="I228" s="836">
        <v>109233849</v>
      </c>
      <c r="J228" s="837">
        <v>429016916</v>
      </c>
      <c r="K228" s="837">
        <v>537090325</v>
      </c>
      <c r="L228" s="837">
        <v>337811283</v>
      </c>
      <c r="M228" s="837">
        <v>575822341</v>
      </c>
      <c r="N228" s="837">
        <v>487632522</v>
      </c>
      <c r="O228" s="780">
        <v>388853902</v>
      </c>
      <c r="P228" s="837">
        <v>45154309</v>
      </c>
      <c r="Q228" s="837">
        <v>245828579</v>
      </c>
      <c r="R228" s="126" t="s">
        <v>353</v>
      </c>
      <c r="S228" s="2709" t="s">
        <v>62</v>
      </c>
      <c r="T228" s="2638" t="s">
        <v>2435</v>
      </c>
      <c r="U228" s="112">
        <v>1</v>
      </c>
      <c r="V228" s="127">
        <v>41823</v>
      </c>
      <c r="W228" s="128" t="s">
        <v>174</v>
      </c>
      <c r="X228" s="4306" t="s">
        <v>1588</v>
      </c>
      <c r="Y228" s="113">
        <f t="shared" ca="1" si="13"/>
        <v>3.463888888888889</v>
      </c>
      <c r="Z228" s="79">
        <v>216</v>
      </c>
    </row>
    <row r="229" spans="1:26" ht="14.1" customHeight="1" x14ac:dyDescent="0.25">
      <c r="A229" s="79"/>
      <c r="B229" s="114" t="s">
        <v>1685</v>
      </c>
      <c r="C229" s="1223" t="s">
        <v>1275</v>
      </c>
      <c r="D229" s="1946"/>
      <c r="E229" s="1999" t="s">
        <v>2130</v>
      </c>
      <c r="F229" s="3782">
        <f t="shared" si="14"/>
        <v>138.04369876976699</v>
      </c>
      <c r="G229" s="115"/>
      <c r="H229" s="115"/>
      <c r="I229" s="883">
        <v>129072891</v>
      </c>
      <c r="J229" s="883">
        <v>538330557</v>
      </c>
      <c r="K229" s="883">
        <v>483483006</v>
      </c>
      <c r="L229" s="883">
        <v>306652298</v>
      </c>
      <c r="M229" s="883">
        <v>591788579</v>
      </c>
      <c r="N229" s="883">
        <v>484766539</v>
      </c>
      <c r="O229" s="883">
        <v>313902785</v>
      </c>
      <c r="P229" s="883">
        <v>57000521</v>
      </c>
      <c r="Q229" s="883">
        <v>188852254</v>
      </c>
      <c r="R229" s="892" t="s">
        <v>159</v>
      </c>
      <c r="S229" s="925" t="s">
        <v>66</v>
      </c>
      <c r="T229" s="2656" t="s">
        <v>2435</v>
      </c>
      <c r="U229" s="926">
        <v>1</v>
      </c>
      <c r="V229" s="893">
        <v>39646</v>
      </c>
      <c r="W229" s="894" t="s">
        <v>76</v>
      </c>
      <c r="X229" s="4322" t="s">
        <v>1315</v>
      </c>
      <c r="Y229" s="119">
        <f t="shared" ca="1" si="13"/>
        <v>9.4250000000000007</v>
      </c>
      <c r="Z229" s="79"/>
    </row>
    <row r="230" spans="1:26" ht="14.1" customHeight="1" x14ac:dyDescent="0.2">
      <c r="A230" s="79">
        <v>218</v>
      </c>
      <c r="B230" s="876" t="s">
        <v>1685</v>
      </c>
      <c r="C230" s="2926" t="s">
        <v>2607</v>
      </c>
      <c r="D230" s="1273" t="s">
        <v>40</v>
      </c>
      <c r="E230" s="1998" t="s">
        <v>2130</v>
      </c>
      <c r="F230" s="3782">
        <f t="shared" si="14"/>
        <v>138.22650390020971</v>
      </c>
      <c r="G230" s="951"/>
      <c r="H230" s="951"/>
      <c r="I230" s="886">
        <v>121804591</v>
      </c>
      <c r="J230" s="895">
        <v>554438005</v>
      </c>
      <c r="K230" s="895">
        <v>494732211</v>
      </c>
      <c r="L230" s="895">
        <v>328120116</v>
      </c>
      <c r="M230" s="895">
        <v>591260535</v>
      </c>
      <c r="N230" s="895">
        <v>485881030</v>
      </c>
      <c r="O230" s="886">
        <v>344544403</v>
      </c>
      <c r="P230" s="895">
        <v>42286988</v>
      </c>
      <c r="Q230" s="895">
        <v>235936103</v>
      </c>
      <c r="R230" s="952" t="s">
        <v>221</v>
      </c>
      <c r="S230" s="953" t="s">
        <v>66</v>
      </c>
      <c r="T230" s="2643" t="s">
        <v>2435</v>
      </c>
      <c r="U230" s="954">
        <v>1</v>
      </c>
      <c r="V230" s="973">
        <v>38669</v>
      </c>
      <c r="W230" s="955" t="s">
        <v>161</v>
      </c>
      <c r="X230" s="4295" t="s">
        <v>640</v>
      </c>
      <c r="Y230" s="104">
        <f t="shared" ca="1" si="13"/>
        <v>12.102777777777778</v>
      </c>
      <c r="Z230" s="79">
        <v>218</v>
      </c>
    </row>
    <row r="231" spans="1:26" ht="14.1" customHeight="1" x14ac:dyDescent="0.2">
      <c r="A231" s="79"/>
      <c r="B231" s="98" t="s">
        <v>1685</v>
      </c>
      <c r="C231" s="1222" t="s">
        <v>1236</v>
      </c>
      <c r="D231" s="1269" t="s">
        <v>40</v>
      </c>
      <c r="E231" s="1999" t="s">
        <v>2130</v>
      </c>
      <c r="F231" s="3782">
        <f t="shared" si="14"/>
        <v>138.41689829600531</v>
      </c>
      <c r="G231" s="108">
        <f>131.6+543.5+0+268.9+448.8+370.2+404.3+45.2+247.1</f>
        <v>2459.6</v>
      </c>
      <c r="H231" s="111"/>
      <c r="I231" s="836">
        <v>115083530</v>
      </c>
      <c r="J231" s="837">
        <v>568891134</v>
      </c>
      <c r="K231" s="837">
        <v>509693152</v>
      </c>
      <c r="L231" s="837">
        <v>316240073</v>
      </c>
      <c r="M231" s="837">
        <v>594994125</v>
      </c>
      <c r="N231" s="837">
        <v>490815079</v>
      </c>
      <c r="O231" s="780">
        <v>384428359</v>
      </c>
      <c r="P231" s="837">
        <v>42842857</v>
      </c>
      <c r="Q231" s="837">
        <v>208583207</v>
      </c>
      <c r="R231" s="126" t="s">
        <v>196</v>
      </c>
      <c r="S231" s="125" t="s">
        <v>66</v>
      </c>
      <c r="T231" s="2635" t="s">
        <v>2435</v>
      </c>
      <c r="U231" s="112">
        <v>1</v>
      </c>
      <c r="V231" s="127">
        <v>40909</v>
      </c>
      <c r="W231" s="128" t="s">
        <v>71</v>
      </c>
      <c r="X231" s="4306" t="s">
        <v>197</v>
      </c>
      <c r="Y231" s="113">
        <f t="shared" ca="1" si="13"/>
        <v>5.9694444444444441</v>
      </c>
      <c r="Z231" s="79"/>
    </row>
    <row r="232" spans="1:26" ht="14.1" customHeight="1" x14ac:dyDescent="0.25">
      <c r="A232" s="79">
        <v>220</v>
      </c>
      <c r="B232" s="915" t="s">
        <v>1103</v>
      </c>
      <c r="C232" s="1217" t="s">
        <v>1420</v>
      </c>
      <c r="D232" s="1270"/>
      <c r="E232" s="1998"/>
      <c r="F232" s="3782">
        <f t="shared" si="14"/>
        <v>138.86326695513046</v>
      </c>
      <c r="G232" s="108">
        <f>30.62+209.68+218.59+164.52+164.62+122.73+144.61+118.78+92</f>
        <v>1266.1499999999999</v>
      </c>
      <c r="H232" s="110"/>
      <c r="I232" s="840">
        <v>124993854</v>
      </c>
      <c r="J232" s="780">
        <v>418843361</v>
      </c>
      <c r="K232" s="780">
        <v>508385494</v>
      </c>
      <c r="L232" s="780">
        <v>344526816</v>
      </c>
      <c r="M232" s="780">
        <v>611175419</v>
      </c>
      <c r="N232" s="780">
        <v>494243780</v>
      </c>
      <c r="O232" s="780">
        <v>365008774</v>
      </c>
      <c r="P232" s="780">
        <v>44959664</v>
      </c>
      <c r="Q232" s="780">
        <v>243161834</v>
      </c>
      <c r="R232" s="126" t="s">
        <v>127</v>
      </c>
      <c r="S232" s="125" t="s">
        <v>66</v>
      </c>
      <c r="T232" s="2635" t="s">
        <v>2435</v>
      </c>
      <c r="U232" s="112">
        <v>1</v>
      </c>
      <c r="V232" s="127">
        <v>39448</v>
      </c>
      <c r="W232" s="128" t="s">
        <v>98</v>
      </c>
      <c r="X232" s="4306" t="s">
        <v>142</v>
      </c>
      <c r="Y232" s="113">
        <f t="shared" ca="1" si="13"/>
        <v>9.969444444444445</v>
      </c>
      <c r="Z232" s="79">
        <v>220</v>
      </c>
    </row>
    <row r="233" spans="1:26" ht="14.1" customHeight="1" x14ac:dyDescent="0.2">
      <c r="A233" s="79"/>
      <c r="B233" s="3792" t="s">
        <v>1103</v>
      </c>
      <c r="C233" s="1223" t="s">
        <v>233</v>
      </c>
      <c r="D233" s="1944" t="s">
        <v>40</v>
      </c>
      <c r="E233" s="1999" t="s">
        <v>2130</v>
      </c>
      <c r="F233" s="3782">
        <f t="shared" si="14"/>
        <v>138.95138761889356</v>
      </c>
      <c r="G233" s="924"/>
      <c r="H233" s="924"/>
      <c r="I233" s="976">
        <v>122777093</v>
      </c>
      <c r="J233" s="913">
        <v>562200718</v>
      </c>
      <c r="K233" s="913">
        <v>502823742</v>
      </c>
      <c r="L233" s="913">
        <v>333646422</v>
      </c>
      <c r="M233" s="913">
        <v>593605126</v>
      </c>
      <c r="N233" s="913">
        <v>489332334</v>
      </c>
      <c r="O233" s="883">
        <v>351560742</v>
      </c>
      <c r="P233" s="913">
        <v>43248341</v>
      </c>
      <c r="Q233" s="913">
        <v>224368029</v>
      </c>
      <c r="R233" s="892" t="s">
        <v>234</v>
      </c>
      <c r="S233" s="925" t="s">
        <v>66</v>
      </c>
      <c r="T233" s="2656" t="s">
        <v>2435</v>
      </c>
      <c r="U233" s="926">
        <v>1</v>
      </c>
      <c r="V233" s="893">
        <v>37572</v>
      </c>
      <c r="W233" s="894" t="s">
        <v>106</v>
      </c>
      <c r="X233" s="4322" t="s">
        <v>731</v>
      </c>
      <c r="Y233" s="119">
        <f t="shared" ca="1" si="13"/>
        <v>15.105555555555556</v>
      </c>
      <c r="Z233" s="79"/>
    </row>
    <row r="234" spans="1:26" ht="14.1" customHeight="1" x14ac:dyDescent="0.25">
      <c r="A234" s="79">
        <v>222</v>
      </c>
      <c r="B234" s="876" t="s">
        <v>1685</v>
      </c>
      <c r="C234" s="1229" t="s">
        <v>1421</v>
      </c>
      <c r="D234" s="3824"/>
      <c r="E234" s="2002"/>
      <c r="F234" s="3782">
        <f t="shared" si="14"/>
        <v>139.00840406308822</v>
      </c>
      <c r="G234" s="951"/>
      <c r="H234" s="951"/>
      <c r="I234" s="802">
        <v>103658331</v>
      </c>
      <c r="J234" s="895">
        <v>569143638</v>
      </c>
      <c r="K234" s="895">
        <v>511361656</v>
      </c>
      <c r="L234" s="895">
        <v>341841938</v>
      </c>
      <c r="M234" s="895">
        <v>583442111</v>
      </c>
      <c r="N234" s="895">
        <v>487054444</v>
      </c>
      <c r="O234" s="886">
        <v>402468499</v>
      </c>
      <c r="P234" s="895">
        <v>40793090</v>
      </c>
      <c r="Q234" s="895">
        <v>242351676</v>
      </c>
      <c r="R234" s="952" t="s">
        <v>247</v>
      </c>
      <c r="S234" s="953" t="s">
        <v>66</v>
      </c>
      <c r="T234" s="2643" t="s">
        <v>2435</v>
      </c>
      <c r="U234" s="954">
        <v>1</v>
      </c>
      <c r="V234" s="3896">
        <v>36526</v>
      </c>
      <c r="W234" s="955" t="s">
        <v>76</v>
      </c>
      <c r="X234" s="4295" t="s">
        <v>1511</v>
      </c>
      <c r="Y234" s="104">
        <f t="shared" ca="1" si="13"/>
        <v>17.969444444444445</v>
      </c>
      <c r="Z234" s="79">
        <v>222</v>
      </c>
    </row>
    <row r="235" spans="1:26" ht="14.1" customHeight="1" x14ac:dyDescent="0.25">
      <c r="A235" s="79"/>
      <c r="B235" s="107" t="s">
        <v>1103</v>
      </c>
      <c r="C235" s="1217" t="s">
        <v>1422</v>
      </c>
      <c r="D235" s="1270"/>
      <c r="E235" s="1999"/>
      <c r="F235" s="3782">
        <f t="shared" si="14"/>
        <v>139.08906282232158</v>
      </c>
      <c r="G235" s="1855"/>
      <c r="H235" s="968"/>
      <c r="I235" s="780">
        <v>133076772</v>
      </c>
      <c r="J235" s="780">
        <v>431582542</v>
      </c>
      <c r="K235" s="780">
        <v>501949621</v>
      </c>
      <c r="L235" s="780">
        <v>338321819</v>
      </c>
      <c r="M235" s="780">
        <v>608496736</v>
      </c>
      <c r="N235" s="780">
        <v>495738549</v>
      </c>
      <c r="O235" s="780">
        <v>363911429</v>
      </c>
      <c r="P235" s="780">
        <v>44561793</v>
      </c>
      <c r="Q235" s="780">
        <v>238447455</v>
      </c>
      <c r="R235" s="126" t="s">
        <v>127</v>
      </c>
      <c r="S235" s="125" t="s">
        <v>66</v>
      </c>
      <c r="T235" s="2635" t="s">
        <v>2435</v>
      </c>
      <c r="U235" s="112">
        <v>1</v>
      </c>
      <c r="V235" s="127">
        <v>39391</v>
      </c>
      <c r="W235" s="128" t="s">
        <v>98</v>
      </c>
      <c r="X235" s="4306" t="s">
        <v>142</v>
      </c>
      <c r="Y235" s="113">
        <f t="shared" ca="1" si="13"/>
        <v>10.125</v>
      </c>
      <c r="Z235" s="79"/>
    </row>
    <row r="236" spans="1:26" ht="14.1" customHeight="1" x14ac:dyDescent="0.2">
      <c r="A236" s="79">
        <v>224</v>
      </c>
      <c r="B236" s="1512" t="s">
        <v>1685</v>
      </c>
      <c r="C236" s="1508" t="s">
        <v>2239</v>
      </c>
      <c r="D236" s="1269" t="s">
        <v>40</v>
      </c>
      <c r="E236" s="2002" t="s">
        <v>2130</v>
      </c>
      <c r="F236" s="3782">
        <f t="shared" si="14"/>
        <v>139.27364735794143</v>
      </c>
      <c r="G236" s="974">
        <f>220.2+780.2+697.7+572.7+791.7+648.9+584.5+85.5+560.9</f>
        <v>4942.2999999999993</v>
      </c>
      <c r="H236" s="917"/>
      <c r="I236" s="836">
        <v>112833452</v>
      </c>
      <c r="J236" s="837">
        <v>562698422</v>
      </c>
      <c r="K236" s="837">
        <v>513286313</v>
      </c>
      <c r="L236" s="837">
        <v>326851797</v>
      </c>
      <c r="M236" s="837">
        <v>599585045</v>
      </c>
      <c r="N236" s="837">
        <v>496120809</v>
      </c>
      <c r="O236" s="780">
        <v>357062598</v>
      </c>
      <c r="P236" s="837">
        <v>43277791</v>
      </c>
      <c r="Q236" s="1797">
        <v>216992755</v>
      </c>
      <c r="R236" s="918" t="s">
        <v>2192</v>
      </c>
      <c r="S236" s="1888" t="s">
        <v>66</v>
      </c>
      <c r="T236" s="2644" t="s">
        <v>2435</v>
      </c>
      <c r="U236" s="956">
        <v>1</v>
      </c>
      <c r="V236" s="920">
        <v>42740</v>
      </c>
      <c r="W236" s="921" t="s">
        <v>121</v>
      </c>
      <c r="X236" s="4309" t="s">
        <v>2193</v>
      </c>
      <c r="Y236" s="113">
        <f t="shared" ca="1" si="13"/>
        <v>0.95833333333333337</v>
      </c>
      <c r="Z236" s="79">
        <v>224</v>
      </c>
    </row>
    <row r="237" spans="1:26" ht="14.1" customHeight="1" x14ac:dyDescent="0.25">
      <c r="A237" s="79"/>
      <c r="B237" s="3585" t="s">
        <v>1103</v>
      </c>
      <c r="C237" s="2155" t="s">
        <v>1504</v>
      </c>
      <c r="D237" s="1946"/>
      <c r="E237" s="1999"/>
      <c r="F237" s="3782">
        <f t="shared" si="14"/>
        <v>139.41059849239437</v>
      </c>
      <c r="G237" s="2597">
        <f>58+100+54+107+48+40+115+108+152</f>
        <v>782</v>
      </c>
      <c r="H237" s="2600"/>
      <c r="I237" s="882">
        <v>110776323</v>
      </c>
      <c r="J237" s="913">
        <v>432036909</v>
      </c>
      <c r="K237" s="883">
        <v>504138793</v>
      </c>
      <c r="L237" s="883">
        <v>362363462</v>
      </c>
      <c r="M237" s="883">
        <v>579245477</v>
      </c>
      <c r="N237" s="883">
        <v>487491543</v>
      </c>
      <c r="O237" s="883">
        <v>344720135</v>
      </c>
      <c r="P237" s="883">
        <v>57387103</v>
      </c>
      <c r="Q237" s="883">
        <v>232998397</v>
      </c>
      <c r="R237" s="884" t="s">
        <v>122</v>
      </c>
      <c r="S237" s="2836" t="s">
        <v>62</v>
      </c>
      <c r="T237" s="2659" t="s">
        <v>2435</v>
      </c>
      <c r="U237" s="2705">
        <v>8</v>
      </c>
      <c r="V237" s="885">
        <v>41508</v>
      </c>
      <c r="W237" s="118" t="s">
        <v>71</v>
      </c>
      <c r="X237" s="4294" t="s">
        <v>730</v>
      </c>
      <c r="Y237" s="119">
        <f t="shared" ca="1" si="13"/>
        <v>4.3277777777777775</v>
      </c>
      <c r="Z237" s="79"/>
    </row>
    <row r="238" spans="1:26" ht="14.1" customHeight="1" x14ac:dyDescent="0.2">
      <c r="A238" s="79">
        <v>226</v>
      </c>
      <c r="B238" s="844" t="s">
        <v>1685</v>
      </c>
      <c r="C238" s="1220" t="s">
        <v>703</v>
      </c>
      <c r="D238" s="1273" t="s">
        <v>40</v>
      </c>
      <c r="E238" s="1998" t="s">
        <v>2130</v>
      </c>
      <c r="F238" s="3782">
        <f t="shared" si="14"/>
        <v>139.45158212806277</v>
      </c>
      <c r="G238" s="914">
        <f>590+0+0+1775+2159+1890+1183+356+2028</f>
        <v>9981</v>
      </c>
      <c r="H238" s="967"/>
      <c r="I238" s="822">
        <v>117749972</v>
      </c>
      <c r="J238" s="886">
        <v>553406495</v>
      </c>
      <c r="K238" s="886">
        <v>490359935</v>
      </c>
      <c r="L238" s="886">
        <v>322617848</v>
      </c>
      <c r="M238" s="886">
        <v>596678998</v>
      </c>
      <c r="N238" s="886">
        <v>490228358</v>
      </c>
      <c r="O238" s="886">
        <v>336655210</v>
      </c>
      <c r="P238" s="886">
        <v>41283298</v>
      </c>
      <c r="Q238" s="886">
        <v>219783245</v>
      </c>
      <c r="R238" s="121" t="s">
        <v>696</v>
      </c>
      <c r="S238" s="120" t="s">
        <v>66</v>
      </c>
      <c r="T238" s="2636" t="s">
        <v>2435</v>
      </c>
      <c r="U238" s="122">
        <v>1</v>
      </c>
      <c r="V238" s="123">
        <v>36588</v>
      </c>
      <c r="W238" s="124" t="s">
        <v>697</v>
      </c>
      <c r="X238" s="4308" t="s">
        <v>698</v>
      </c>
      <c r="Y238" s="104">
        <f t="shared" ca="1" si="13"/>
        <v>17.797222222222221</v>
      </c>
      <c r="Z238" s="79">
        <v>226</v>
      </c>
    </row>
    <row r="239" spans="1:26" ht="14.1" customHeight="1" x14ac:dyDescent="0.2">
      <c r="A239" s="79"/>
      <c r="B239" s="908" t="s">
        <v>1685</v>
      </c>
      <c r="C239" s="2746" t="s">
        <v>921</v>
      </c>
      <c r="D239" s="3693"/>
      <c r="E239" s="1999" t="s">
        <v>2130</v>
      </c>
      <c r="F239" s="3782">
        <f t="shared" si="14"/>
        <v>139.4526510613147</v>
      </c>
      <c r="G239" s="3706">
        <f>781+271+2100+366+305+522+136+120+186</f>
        <v>4787</v>
      </c>
      <c r="H239" s="3719"/>
      <c r="I239" s="836">
        <v>117288997</v>
      </c>
      <c r="J239" s="837">
        <v>554026701</v>
      </c>
      <c r="K239" s="837">
        <v>485444925</v>
      </c>
      <c r="L239" s="837">
        <v>300983585</v>
      </c>
      <c r="M239" s="837">
        <v>593540724</v>
      </c>
      <c r="N239" s="837">
        <v>465869981</v>
      </c>
      <c r="O239" s="837">
        <v>354012393</v>
      </c>
      <c r="P239" s="837">
        <v>44537348</v>
      </c>
      <c r="Q239" s="837">
        <v>244389366</v>
      </c>
      <c r="R239" s="3742" t="s">
        <v>442</v>
      </c>
      <c r="S239" s="125" t="s">
        <v>66</v>
      </c>
      <c r="T239" s="2635" t="s">
        <v>2435</v>
      </c>
      <c r="U239" s="125">
        <v>1</v>
      </c>
      <c r="V239" s="920">
        <v>41153</v>
      </c>
      <c r="W239" s="921" t="s">
        <v>73</v>
      </c>
      <c r="X239" s="4309" t="s">
        <v>574</v>
      </c>
      <c r="Y239" s="113">
        <f t="shared" ca="1" si="13"/>
        <v>5.302777777777778</v>
      </c>
      <c r="Z239" s="79"/>
    </row>
    <row r="240" spans="1:26" ht="14.1" customHeight="1" x14ac:dyDescent="0.2">
      <c r="A240" s="79">
        <v>228</v>
      </c>
      <c r="B240" s="3789" t="s">
        <v>1685</v>
      </c>
      <c r="C240" s="3376" t="s">
        <v>1060</v>
      </c>
      <c r="D240" s="1269" t="s">
        <v>40</v>
      </c>
      <c r="E240" s="1998" t="s">
        <v>2130</v>
      </c>
      <c r="F240" s="3782">
        <f t="shared" si="14"/>
        <v>139.55442180626409</v>
      </c>
      <c r="G240" s="108">
        <f>127.1+517.3+585.2+321.9+421.6+352+401.7+55.2+367.2</f>
        <v>3149.1999999999994</v>
      </c>
      <c r="H240" s="111"/>
      <c r="I240" s="836">
        <v>116283646</v>
      </c>
      <c r="J240" s="837">
        <v>553885309</v>
      </c>
      <c r="K240" s="837">
        <v>535147189</v>
      </c>
      <c r="L240" s="837">
        <v>322006084</v>
      </c>
      <c r="M240" s="837">
        <v>594798165</v>
      </c>
      <c r="N240" s="837">
        <v>495920231</v>
      </c>
      <c r="O240" s="780">
        <v>384531089</v>
      </c>
      <c r="P240" s="837">
        <v>41063234</v>
      </c>
      <c r="Q240" s="837">
        <v>218838927</v>
      </c>
      <c r="R240" s="126" t="s">
        <v>1851</v>
      </c>
      <c r="S240" s="125" t="s">
        <v>66</v>
      </c>
      <c r="T240" s="2635" t="s">
        <v>2435</v>
      </c>
      <c r="U240" s="2704">
        <v>2</v>
      </c>
      <c r="V240" s="127">
        <v>41189</v>
      </c>
      <c r="W240" s="128" t="s">
        <v>74</v>
      </c>
      <c r="X240" s="4306" t="s">
        <v>724</v>
      </c>
      <c r="Y240" s="113">
        <f t="shared" ca="1" si="13"/>
        <v>5.2027777777777775</v>
      </c>
      <c r="Z240" s="79">
        <v>228</v>
      </c>
    </row>
    <row r="241" spans="1:26" ht="14.1" customHeight="1" x14ac:dyDescent="0.2">
      <c r="A241" s="79"/>
      <c r="B241" s="98" t="s">
        <v>1685</v>
      </c>
      <c r="C241" s="1217" t="s">
        <v>1092</v>
      </c>
      <c r="D241" s="1944" t="s">
        <v>40</v>
      </c>
      <c r="E241" s="1999" t="s">
        <v>2130</v>
      </c>
      <c r="F241" s="3782">
        <f t="shared" si="14"/>
        <v>139.56484851390363</v>
      </c>
      <c r="G241" s="2597">
        <f>222+729+701+551+688+573+580+116+619</f>
        <v>4779</v>
      </c>
      <c r="H241" s="2597"/>
      <c r="I241" s="882">
        <v>117552921</v>
      </c>
      <c r="J241" s="883">
        <v>572626534</v>
      </c>
      <c r="K241" s="883">
        <v>486574278</v>
      </c>
      <c r="L241" s="883">
        <v>314517710</v>
      </c>
      <c r="M241" s="883">
        <v>588200518</v>
      </c>
      <c r="N241" s="883">
        <v>483635881</v>
      </c>
      <c r="O241" s="883">
        <v>355771296</v>
      </c>
      <c r="P241" s="883">
        <v>44865372</v>
      </c>
      <c r="Q241" s="883">
        <v>223246172</v>
      </c>
      <c r="R241" s="884" t="s">
        <v>1086</v>
      </c>
      <c r="S241" s="116" t="s">
        <v>66</v>
      </c>
      <c r="T241" s="2641" t="s">
        <v>2435</v>
      </c>
      <c r="U241" s="117">
        <v>1</v>
      </c>
      <c r="V241" s="885">
        <v>41195</v>
      </c>
      <c r="W241" s="118" t="s">
        <v>417</v>
      </c>
      <c r="X241" s="4294" t="s">
        <v>2023</v>
      </c>
      <c r="Y241" s="119">
        <f t="shared" ca="1" si="13"/>
        <v>5.1861111111111109</v>
      </c>
      <c r="Z241" s="79"/>
    </row>
    <row r="242" spans="1:26" ht="14.1" customHeight="1" x14ac:dyDescent="0.25">
      <c r="A242" s="79">
        <v>230</v>
      </c>
      <c r="B242" s="3587" t="s">
        <v>1685</v>
      </c>
      <c r="C242" s="2559" t="s">
        <v>222</v>
      </c>
      <c r="D242" s="3594"/>
      <c r="E242" s="2003" t="s">
        <v>2130</v>
      </c>
      <c r="F242" s="3782">
        <f t="shared" si="14"/>
        <v>139.60993220413062</v>
      </c>
      <c r="G242" s="2748"/>
      <c r="H242" s="922"/>
      <c r="I242" s="822">
        <v>119946244</v>
      </c>
      <c r="J242" s="886">
        <v>561340638</v>
      </c>
      <c r="K242" s="886">
        <v>501587597</v>
      </c>
      <c r="L242" s="886">
        <v>329380316</v>
      </c>
      <c r="M242" s="886">
        <v>603767598</v>
      </c>
      <c r="N242" s="886">
        <v>497973199</v>
      </c>
      <c r="O242" s="886">
        <v>359619434</v>
      </c>
      <c r="P242" s="886">
        <v>44674648</v>
      </c>
      <c r="Q242" s="886">
        <v>225006312</v>
      </c>
      <c r="R242" s="2562" t="s">
        <v>223</v>
      </c>
      <c r="S242" s="2563" t="s">
        <v>66</v>
      </c>
      <c r="T242" s="2655" t="s">
        <v>2435</v>
      </c>
      <c r="U242" s="2564">
        <v>1</v>
      </c>
      <c r="V242" s="2565">
        <v>39474</v>
      </c>
      <c r="W242" s="2566" t="s">
        <v>214</v>
      </c>
      <c r="X242" s="4319" t="s">
        <v>224</v>
      </c>
      <c r="Y242" s="104">
        <f t="shared" ca="1" si="13"/>
        <v>9.8972222222222221</v>
      </c>
      <c r="Z242" s="79">
        <v>230</v>
      </c>
    </row>
    <row r="243" spans="1:26" ht="14.1" customHeight="1" x14ac:dyDescent="0.2">
      <c r="A243" s="79"/>
      <c r="B243" s="98" t="s">
        <v>1685</v>
      </c>
      <c r="C243" s="1217" t="s">
        <v>1276</v>
      </c>
      <c r="D243" s="1269" t="s">
        <v>40</v>
      </c>
      <c r="E243" s="1999" t="s">
        <v>2130</v>
      </c>
      <c r="F243" s="3782">
        <f t="shared" si="14"/>
        <v>139.67459244822282</v>
      </c>
      <c r="G243" s="109"/>
      <c r="H243" s="110"/>
      <c r="I243" s="840">
        <v>101312258</v>
      </c>
      <c r="J243" s="780">
        <v>525637868</v>
      </c>
      <c r="K243" s="780">
        <v>522075646</v>
      </c>
      <c r="L243" s="780">
        <v>339203277</v>
      </c>
      <c r="M243" s="780">
        <v>581939211</v>
      </c>
      <c r="N243" s="780">
        <v>489462947</v>
      </c>
      <c r="O243" s="780">
        <v>435507523</v>
      </c>
      <c r="P243" s="780">
        <v>42056335</v>
      </c>
      <c r="Q243" s="780">
        <v>248037330</v>
      </c>
      <c r="R243" s="126" t="s">
        <v>165</v>
      </c>
      <c r="S243" s="125" t="s">
        <v>66</v>
      </c>
      <c r="T243" s="2635" t="s">
        <v>2435</v>
      </c>
      <c r="U243" s="112">
        <v>1</v>
      </c>
      <c r="V243" s="127">
        <v>39546</v>
      </c>
      <c r="W243" s="128" t="s">
        <v>2215</v>
      </c>
      <c r="X243" s="4306" t="s">
        <v>97</v>
      </c>
      <c r="Y243" s="113">
        <f t="shared" ca="1" si="13"/>
        <v>9.6999999999999993</v>
      </c>
      <c r="Z243" s="79"/>
    </row>
    <row r="244" spans="1:26" ht="14.1" customHeight="1" x14ac:dyDescent="0.2">
      <c r="A244" s="79">
        <v>232</v>
      </c>
      <c r="B244" s="876" t="s">
        <v>1685</v>
      </c>
      <c r="C244" s="1225" t="s">
        <v>1637</v>
      </c>
      <c r="D244" s="1269" t="s">
        <v>40</v>
      </c>
      <c r="E244" s="1998" t="s">
        <v>2130</v>
      </c>
      <c r="F244" s="3782">
        <f t="shared" si="14"/>
        <v>139.71566595175949</v>
      </c>
      <c r="G244" s="916"/>
      <c r="H244" s="917"/>
      <c r="I244" s="836">
        <v>124598594</v>
      </c>
      <c r="J244" s="837">
        <v>572391654</v>
      </c>
      <c r="K244" s="837">
        <v>506849776</v>
      </c>
      <c r="L244" s="837">
        <v>330650185</v>
      </c>
      <c r="M244" s="837">
        <v>618276216</v>
      </c>
      <c r="N244" s="837">
        <v>507162281</v>
      </c>
      <c r="O244" s="780">
        <v>339279238</v>
      </c>
      <c r="P244" s="837">
        <v>42903597</v>
      </c>
      <c r="Q244" s="837">
        <v>221746547</v>
      </c>
      <c r="R244" s="918" t="s">
        <v>265</v>
      </c>
      <c r="S244" s="919" t="s">
        <v>66</v>
      </c>
      <c r="T244" s="2640" t="s">
        <v>2435</v>
      </c>
      <c r="U244" s="956">
        <v>1</v>
      </c>
      <c r="V244" s="920">
        <v>37687</v>
      </c>
      <c r="W244" s="921" t="s">
        <v>106</v>
      </c>
      <c r="X244" s="4309" t="s">
        <v>1400</v>
      </c>
      <c r="Y244" s="113">
        <f t="shared" ref="Y244:Y307" ca="1" si="15">YEARFRAC(V244,Y$6)</f>
        <v>14.786111111111111</v>
      </c>
      <c r="Z244" s="79">
        <v>232</v>
      </c>
    </row>
    <row r="245" spans="1:26" ht="14.1" customHeight="1" x14ac:dyDescent="0.2">
      <c r="A245" s="79"/>
      <c r="B245" s="114" t="s">
        <v>1685</v>
      </c>
      <c r="C245" s="3973" t="s">
        <v>1238</v>
      </c>
      <c r="D245" s="1944" t="s">
        <v>40</v>
      </c>
      <c r="E245" s="1999" t="s">
        <v>2130</v>
      </c>
      <c r="F245" s="3782">
        <f t="shared" si="14"/>
        <v>139.85119717820254</v>
      </c>
      <c r="G245" s="4016">
        <f>238+537+518+139+267+126+31+238+341</f>
        <v>2435</v>
      </c>
      <c r="H245" s="4016"/>
      <c r="I245" s="882">
        <v>116994050</v>
      </c>
      <c r="J245" s="883">
        <v>568031507</v>
      </c>
      <c r="K245" s="883">
        <v>508711593</v>
      </c>
      <c r="L245" s="883">
        <v>318456169</v>
      </c>
      <c r="M245" s="883">
        <v>594163111</v>
      </c>
      <c r="N245" s="883">
        <v>489788534</v>
      </c>
      <c r="O245" s="883">
        <v>381166142</v>
      </c>
      <c r="P245" s="883">
        <v>44562877</v>
      </c>
      <c r="Q245" s="883">
        <v>216863053</v>
      </c>
      <c r="R245" s="4089" t="s">
        <v>196</v>
      </c>
      <c r="S245" s="4120" t="s">
        <v>66</v>
      </c>
      <c r="T245" s="3880" t="s">
        <v>2435</v>
      </c>
      <c r="U245" s="4165">
        <v>1</v>
      </c>
      <c r="V245" s="4193">
        <v>40594</v>
      </c>
      <c r="W245" s="4217" t="s">
        <v>71</v>
      </c>
      <c r="X245" s="4339" t="s">
        <v>559</v>
      </c>
      <c r="Y245" s="119">
        <f t="shared" ca="1" si="15"/>
        <v>6.833333333333333</v>
      </c>
      <c r="Z245" s="79"/>
    </row>
    <row r="246" spans="1:26" ht="14.1" customHeight="1" x14ac:dyDescent="0.25">
      <c r="A246" s="79">
        <v>234</v>
      </c>
      <c r="B246" s="950" t="s">
        <v>1103</v>
      </c>
      <c r="C246" s="2926" t="s">
        <v>1239</v>
      </c>
      <c r="D246" s="3824"/>
      <c r="E246" s="2002"/>
      <c r="F246" s="3782">
        <f t="shared" si="14"/>
        <v>139.87013256748901</v>
      </c>
      <c r="G246" s="951"/>
      <c r="H246" s="951"/>
      <c r="I246" s="802">
        <v>118211550</v>
      </c>
      <c r="J246" s="895">
        <v>453906326</v>
      </c>
      <c r="K246" s="895">
        <v>504717071</v>
      </c>
      <c r="L246" s="895">
        <v>341296831</v>
      </c>
      <c r="M246" s="895">
        <v>586161889</v>
      </c>
      <c r="N246" s="895">
        <v>484815060</v>
      </c>
      <c r="O246" s="886">
        <v>395849455</v>
      </c>
      <c r="P246" s="895">
        <v>49643968</v>
      </c>
      <c r="Q246" s="895">
        <v>236538947</v>
      </c>
      <c r="R246" s="952" t="s">
        <v>87</v>
      </c>
      <c r="S246" s="953" t="s">
        <v>66</v>
      </c>
      <c r="T246" s="2643" t="s">
        <v>2435</v>
      </c>
      <c r="U246" s="954">
        <v>1</v>
      </c>
      <c r="V246" s="973">
        <v>38985</v>
      </c>
      <c r="W246" s="955" t="s">
        <v>71</v>
      </c>
      <c r="X246" s="4295" t="s">
        <v>190</v>
      </c>
      <c r="Y246" s="104">
        <f t="shared" ca="1" si="15"/>
        <v>11.236111111111111</v>
      </c>
      <c r="Z246" s="79">
        <v>234</v>
      </c>
    </row>
    <row r="247" spans="1:26" ht="14.1" customHeight="1" x14ac:dyDescent="0.2">
      <c r="A247" s="79"/>
      <c r="B247" s="908" t="s">
        <v>1685</v>
      </c>
      <c r="C247" s="1217" t="s">
        <v>1544</v>
      </c>
      <c r="D247" s="1269"/>
      <c r="E247" s="1999" t="s">
        <v>2130</v>
      </c>
      <c r="F247" s="3782">
        <f t="shared" si="14"/>
        <v>140.26725575424132</v>
      </c>
      <c r="G247" s="108">
        <f>113+525+479+309+555+456+360+41+231</f>
        <v>3069</v>
      </c>
      <c r="H247" s="110"/>
      <c r="I247" s="836">
        <v>117228862</v>
      </c>
      <c r="J247" s="837">
        <v>542814620</v>
      </c>
      <c r="K247" s="837">
        <v>512465506</v>
      </c>
      <c r="L247" s="780">
        <v>334962208</v>
      </c>
      <c r="M247" s="780">
        <v>589940645</v>
      </c>
      <c r="N247" s="780">
        <v>490040116</v>
      </c>
      <c r="O247" s="780">
        <v>359724248</v>
      </c>
      <c r="P247" s="780">
        <v>43937035</v>
      </c>
      <c r="Q247" s="780">
        <v>234621686</v>
      </c>
      <c r="R247" s="126" t="s">
        <v>1545</v>
      </c>
      <c r="S247" s="125" t="s">
        <v>66</v>
      </c>
      <c r="T247" s="2635" t="s">
        <v>2435</v>
      </c>
      <c r="U247" s="2704">
        <v>2</v>
      </c>
      <c r="V247" s="127">
        <v>41617</v>
      </c>
      <c r="W247" s="128" t="s">
        <v>76</v>
      </c>
      <c r="X247" s="4306" t="s">
        <v>246</v>
      </c>
      <c r="Y247" s="113">
        <f t="shared" ca="1" si="15"/>
        <v>4.0305555555555559</v>
      </c>
      <c r="Z247" s="79"/>
    </row>
    <row r="248" spans="1:26" ht="14.1" customHeight="1" x14ac:dyDescent="0.25">
      <c r="A248" s="79">
        <v>236</v>
      </c>
      <c r="B248" s="908" t="s">
        <v>1685</v>
      </c>
      <c r="C248" s="2818" t="s">
        <v>1208</v>
      </c>
      <c r="D248" s="1949"/>
      <c r="E248" s="2002"/>
      <c r="F248" s="3782">
        <f t="shared" si="14"/>
        <v>140.28919964836527</v>
      </c>
      <c r="G248" s="916"/>
      <c r="H248" s="917"/>
      <c r="I248" s="780">
        <v>127377151</v>
      </c>
      <c r="J248" s="780">
        <v>414109592</v>
      </c>
      <c r="K248" s="837">
        <v>505116350</v>
      </c>
      <c r="L248" s="780">
        <v>336801333</v>
      </c>
      <c r="M248" s="780">
        <v>596959683</v>
      </c>
      <c r="N248" s="780">
        <v>490765045</v>
      </c>
      <c r="O248" s="780">
        <v>307384341</v>
      </c>
      <c r="P248" s="780">
        <v>53043903</v>
      </c>
      <c r="Q248" s="780">
        <v>268699942</v>
      </c>
      <c r="R248" s="918" t="s">
        <v>207</v>
      </c>
      <c r="S248" s="919" t="s">
        <v>131</v>
      </c>
      <c r="T248" s="2640" t="s">
        <v>2435</v>
      </c>
      <c r="U248" s="956">
        <v>1</v>
      </c>
      <c r="V248" s="920">
        <v>36543</v>
      </c>
      <c r="W248" s="921" t="s">
        <v>208</v>
      </c>
      <c r="X248" s="4309" t="s">
        <v>209</v>
      </c>
      <c r="Y248" s="113">
        <f t="shared" ca="1" si="15"/>
        <v>17.922222222222221</v>
      </c>
      <c r="Z248" s="79">
        <v>236</v>
      </c>
    </row>
    <row r="249" spans="1:26" ht="14.1" customHeight="1" x14ac:dyDescent="0.2">
      <c r="A249" s="79"/>
      <c r="B249" s="972" t="s">
        <v>1685</v>
      </c>
      <c r="C249" s="1221" t="s">
        <v>659</v>
      </c>
      <c r="D249" s="1944" t="s">
        <v>40</v>
      </c>
      <c r="E249" s="1999" t="s">
        <v>2130</v>
      </c>
      <c r="F249" s="3782">
        <f t="shared" si="14"/>
        <v>140.40925001942381</v>
      </c>
      <c r="G249" s="115"/>
      <c r="H249" s="115"/>
      <c r="I249" s="882">
        <v>122937482</v>
      </c>
      <c r="J249" s="883">
        <v>553850756</v>
      </c>
      <c r="K249" s="883">
        <v>494894795</v>
      </c>
      <c r="L249" s="883">
        <v>337207965</v>
      </c>
      <c r="M249" s="883">
        <v>594590928</v>
      </c>
      <c r="N249" s="883">
        <v>489288623</v>
      </c>
      <c r="O249" s="883">
        <v>349134139</v>
      </c>
      <c r="P249" s="883">
        <v>44115094</v>
      </c>
      <c r="Q249" s="883">
        <v>243749097</v>
      </c>
      <c r="R249" s="884" t="s">
        <v>398</v>
      </c>
      <c r="S249" s="116" t="s">
        <v>66</v>
      </c>
      <c r="T249" s="2641" t="s">
        <v>2435</v>
      </c>
      <c r="U249" s="117">
        <v>1</v>
      </c>
      <c r="V249" s="885">
        <v>39881</v>
      </c>
      <c r="W249" s="118" t="s">
        <v>253</v>
      </c>
      <c r="X249" s="4294" t="s">
        <v>148</v>
      </c>
      <c r="Y249" s="119">
        <f t="shared" ca="1" si="15"/>
        <v>8.780555555555555</v>
      </c>
      <c r="Z249" s="79"/>
    </row>
    <row r="250" spans="1:26" ht="14.1" customHeight="1" x14ac:dyDescent="0.25">
      <c r="A250" s="79">
        <v>238</v>
      </c>
      <c r="B250" s="950" t="s">
        <v>1103</v>
      </c>
      <c r="C250" s="1229" t="s">
        <v>1431</v>
      </c>
      <c r="D250" s="3209"/>
      <c r="E250" s="2002"/>
      <c r="F250" s="3782">
        <f t="shared" si="14"/>
        <v>140.44164032382281</v>
      </c>
      <c r="G250" s="1538">
        <f>304+648+461+257+519+236+93+341+481</f>
        <v>3340</v>
      </c>
      <c r="H250" s="951"/>
      <c r="I250" s="822">
        <v>122423943</v>
      </c>
      <c r="J250" s="895">
        <v>557033682</v>
      </c>
      <c r="K250" s="886">
        <v>484872486</v>
      </c>
      <c r="L250" s="886">
        <v>322300682</v>
      </c>
      <c r="M250" s="886">
        <v>597005058</v>
      </c>
      <c r="N250" s="886">
        <v>490939923</v>
      </c>
      <c r="O250" s="886">
        <v>345595121</v>
      </c>
      <c r="P250" s="886">
        <v>51771948</v>
      </c>
      <c r="Q250" s="886">
        <v>203200439</v>
      </c>
      <c r="R250" s="952" t="s">
        <v>510</v>
      </c>
      <c r="S250" s="953" t="s">
        <v>66</v>
      </c>
      <c r="T250" s="2643" t="s">
        <v>2435</v>
      </c>
      <c r="U250" s="954">
        <v>1</v>
      </c>
      <c r="V250" s="973">
        <v>40901</v>
      </c>
      <c r="W250" s="955" t="s">
        <v>76</v>
      </c>
      <c r="X250" s="4295" t="s">
        <v>110</v>
      </c>
      <c r="Y250" s="104">
        <f t="shared" ca="1" si="15"/>
        <v>5.9888888888888889</v>
      </c>
      <c r="Z250" s="79">
        <v>238</v>
      </c>
    </row>
    <row r="251" spans="1:26" ht="14.1" customHeight="1" x14ac:dyDescent="0.25">
      <c r="A251" s="79"/>
      <c r="B251" s="915" t="s">
        <v>1103</v>
      </c>
      <c r="C251" s="1225" t="s">
        <v>1277</v>
      </c>
      <c r="D251" s="1952"/>
      <c r="E251" s="2005"/>
      <c r="F251" s="3782">
        <f t="shared" si="14"/>
        <v>140.46178683433587</v>
      </c>
      <c r="G251" s="916"/>
      <c r="H251" s="917"/>
      <c r="I251" s="836">
        <v>121941378</v>
      </c>
      <c r="J251" s="837">
        <v>559203026</v>
      </c>
      <c r="K251" s="837">
        <v>488622047</v>
      </c>
      <c r="L251" s="837">
        <v>323454834</v>
      </c>
      <c r="M251" s="837">
        <v>595857165</v>
      </c>
      <c r="N251" s="837">
        <v>488783379</v>
      </c>
      <c r="O251" s="780">
        <v>352490321</v>
      </c>
      <c r="P251" s="837">
        <v>52004680</v>
      </c>
      <c r="Q251" s="837">
        <v>214993717</v>
      </c>
      <c r="R251" s="918" t="s">
        <v>217</v>
      </c>
      <c r="S251" s="919" t="s">
        <v>66</v>
      </c>
      <c r="T251" s="2640" t="s">
        <v>2435</v>
      </c>
      <c r="U251" s="956">
        <v>1</v>
      </c>
      <c r="V251" s="920">
        <v>37640</v>
      </c>
      <c r="W251" s="921" t="s">
        <v>181</v>
      </c>
      <c r="X251" s="4309" t="s">
        <v>218</v>
      </c>
      <c r="Y251" s="113">
        <f t="shared" ca="1" si="15"/>
        <v>14.919444444444444</v>
      </c>
      <c r="Z251" s="79"/>
    </row>
    <row r="252" spans="1:26" ht="14.1" customHeight="1" x14ac:dyDescent="0.25">
      <c r="A252" s="79">
        <v>240</v>
      </c>
      <c r="B252" s="915" t="s">
        <v>1103</v>
      </c>
      <c r="C252" s="1225" t="s">
        <v>623</v>
      </c>
      <c r="D252" s="1952"/>
      <c r="E252" s="2002"/>
      <c r="F252" s="3782">
        <f t="shared" si="14"/>
        <v>141.12099212290008</v>
      </c>
      <c r="G252" s="916"/>
      <c r="H252" s="917"/>
      <c r="I252" s="836">
        <v>124368324</v>
      </c>
      <c r="J252" s="837">
        <v>554100949</v>
      </c>
      <c r="K252" s="837">
        <v>497374100</v>
      </c>
      <c r="L252" s="837">
        <v>338174458</v>
      </c>
      <c r="M252" s="837">
        <v>594566825</v>
      </c>
      <c r="N252" s="837">
        <v>488681118</v>
      </c>
      <c r="O252" s="780">
        <v>354067630</v>
      </c>
      <c r="P252" s="837">
        <v>44521755</v>
      </c>
      <c r="Q252" s="837">
        <v>244109443</v>
      </c>
      <c r="R252" s="918" t="s">
        <v>255</v>
      </c>
      <c r="S252" s="919" t="s">
        <v>66</v>
      </c>
      <c r="T252" s="2640" t="s">
        <v>2435</v>
      </c>
      <c r="U252" s="956">
        <v>1</v>
      </c>
      <c r="V252" s="920">
        <v>38385</v>
      </c>
      <c r="W252" s="921" t="s">
        <v>76</v>
      </c>
      <c r="X252" s="4309" t="s">
        <v>148</v>
      </c>
      <c r="Y252" s="113">
        <f t="shared" ca="1" si="15"/>
        <v>12.883333333333333</v>
      </c>
      <c r="Z252" s="79">
        <v>240</v>
      </c>
    </row>
    <row r="253" spans="1:26" ht="14.1" customHeight="1" x14ac:dyDescent="0.25">
      <c r="A253" s="79"/>
      <c r="B253" s="972" t="s">
        <v>1685</v>
      </c>
      <c r="C253" s="1223" t="s">
        <v>248</v>
      </c>
      <c r="D253" s="1951"/>
      <c r="E253" s="2005" t="s">
        <v>2130</v>
      </c>
      <c r="F253" s="3782">
        <f t="shared" si="14"/>
        <v>141.1413481216654</v>
      </c>
      <c r="G253" s="924"/>
      <c r="H253" s="924"/>
      <c r="I253" s="976">
        <v>124593889</v>
      </c>
      <c r="J253" s="913">
        <v>552939425</v>
      </c>
      <c r="K253" s="913">
        <v>497291626</v>
      </c>
      <c r="L253" s="913">
        <v>338484734</v>
      </c>
      <c r="M253" s="913">
        <v>589852305</v>
      </c>
      <c r="N253" s="913">
        <v>487908959</v>
      </c>
      <c r="O253" s="883">
        <v>354494617</v>
      </c>
      <c r="P253" s="913">
        <v>44566072</v>
      </c>
      <c r="Q253" s="913">
        <v>245413944</v>
      </c>
      <c r="R253" s="892" t="s">
        <v>249</v>
      </c>
      <c r="S253" s="925" t="s">
        <v>66</v>
      </c>
      <c r="T253" s="2656" t="s">
        <v>2435</v>
      </c>
      <c r="U253" s="926">
        <v>1</v>
      </c>
      <c r="V253" s="893">
        <v>38075</v>
      </c>
      <c r="W253" s="894" t="s">
        <v>76</v>
      </c>
      <c r="X253" s="4322" t="s">
        <v>250</v>
      </c>
      <c r="Y253" s="119">
        <f t="shared" ca="1" si="15"/>
        <v>13.725</v>
      </c>
      <c r="Z253" s="79"/>
    </row>
    <row r="254" spans="1:26" ht="14.1" customHeight="1" x14ac:dyDescent="0.25">
      <c r="A254" s="79">
        <v>242</v>
      </c>
      <c r="B254" s="876" t="s">
        <v>1685</v>
      </c>
      <c r="C254" s="1229" t="s">
        <v>1278</v>
      </c>
      <c r="D254" s="3824"/>
      <c r="E254" s="2002" t="s">
        <v>2130</v>
      </c>
      <c r="F254" s="3782">
        <f t="shared" si="14"/>
        <v>141.15326974631796</v>
      </c>
      <c r="G254" s="951"/>
      <c r="H254" s="951"/>
      <c r="I254" s="822">
        <v>124699168</v>
      </c>
      <c r="J254" s="886">
        <v>554027529</v>
      </c>
      <c r="K254" s="886">
        <v>497307536</v>
      </c>
      <c r="L254" s="886">
        <v>338101588</v>
      </c>
      <c r="M254" s="886">
        <v>593658751</v>
      </c>
      <c r="N254" s="886">
        <v>488616338</v>
      </c>
      <c r="O254" s="886">
        <v>354056112</v>
      </c>
      <c r="P254" s="886">
        <v>44484142</v>
      </c>
      <c r="Q254" s="886">
        <v>244387066</v>
      </c>
      <c r="R254" s="952" t="s">
        <v>256</v>
      </c>
      <c r="S254" s="953" t="s">
        <v>66</v>
      </c>
      <c r="T254" s="2643" t="s">
        <v>2435</v>
      </c>
      <c r="U254" s="954">
        <v>1</v>
      </c>
      <c r="V254" s="973">
        <v>35851</v>
      </c>
      <c r="W254" s="955" t="s">
        <v>71</v>
      </c>
      <c r="X254" s="4295" t="s">
        <v>257</v>
      </c>
      <c r="Y254" s="104">
        <f t="shared" ca="1" si="15"/>
        <v>19.819444444444443</v>
      </c>
      <c r="Z254" s="79">
        <v>242</v>
      </c>
    </row>
    <row r="255" spans="1:26" ht="14.1" customHeight="1" x14ac:dyDescent="0.2">
      <c r="A255" s="79"/>
      <c r="B255" s="98" t="s">
        <v>1685</v>
      </c>
      <c r="C255" s="1227" t="s">
        <v>1195</v>
      </c>
      <c r="D255" s="1269" t="s">
        <v>40</v>
      </c>
      <c r="E255" s="1999"/>
      <c r="F255" s="3782">
        <f t="shared" si="14"/>
        <v>141.2938135157078</v>
      </c>
      <c r="G255" s="108">
        <f>13+43+41+30+42+33+23+8+35</f>
        <v>268</v>
      </c>
      <c r="H255" s="111">
        <f>4.7+21.5+22.6+12.3+14.9+11.6+12.9+2.3+14.1</f>
        <v>116.89999999999999</v>
      </c>
      <c r="I255" s="840">
        <v>124877894</v>
      </c>
      <c r="J255" s="837">
        <v>553971146</v>
      </c>
      <c r="K255" s="780">
        <v>497293620</v>
      </c>
      <c r="L255" s="780">
        <v>337931444</v>
      </c>
      <c r="M255" s="780">
        <v>593810122</v>
      </c>
      <c r="N255" s="780">
        <v>488639302</v>
      </c>
      <c r="O255" s="780">
        <v>353920282</v>
      </c>
      <c r="P255" s="780">
        <v>44588080</v>
      </c>
      <c r="Q255" s="780">
        <v>244485873</v>
      </c>
      <c r="R255" s="126" t="s">
        <v>258</v>
      </c>
      <c r="S255" s="125" t="s">
        <v>66</v>
      </c>
      <c r="T255" s="2635" t="s">
        <v>2435</v>
      </c>
      <c r="U255" s="2704">
        <v>8</v>
      </c>
      <c r="V255" s="3275">
        <v>40888</v>
      </c>
      <c r="W255" s="128" t="s">
        <v>76</v>
      </c>
      <c r="X255" s="4306" t="s">
        <v>527</v>
      </c>
      <c r="Y255" s="113">
        <f t="shared" ca="1" si="15"/>
        <v>6.0250000000000004</v>
      </c>
      <c r="Z255" s="79"/>
    </row>
    <row r="256" spans="1:26" ht="14.1" customHeight="1" x14ac:dyDescent="0.2">
      <c r="A256" s="79">
        <v>244</v>
      </c>
      <c r="B256" s="901" t="s">
        <v>1685</v>
      </c>
      <c r="C256" s="1217" t="s">
        <v>752</v>
      </c>
      <c r="D256" s="1269" t="s">
        <v>40</v>
      </c>
      <c r="E256" s="1998"/>
      <c r="F256" s="3782">
        <f t="shared" si="14"/>
        <v>141.30147194011951</v>
      </c>
      <c r="G256" s="1419">
        <f>14+36+33+30+37+29+22+8+36</f>
        <v>245</v>
      </c>
      <c r="H256" s="2484">
        <f>6.6+25.8+23.6+18.7+25.8+21.2+11.6+18.1+3+17.2</f>
        <v>171.6</v>
      </c>
      <c r="I256" s="836">
        <v>124885916</v>
      </c>
      <c r="J256" s="837">
        <v>553948496</v>
      </c>
      <c r="K256" s="837">
        <v>497286572</v>
      </c>
      <c r="L256" s="837">
        <v>337934874</v>
      </c>
      <c r="M256" s="837">
        <v>593766509</v>
      </c>
      <c r="N256" s="837">
        <v>488631277</v>
      </c>
      <c r="O256" s="780">
        <v>353929880</v>
      </c>
      <c r="P256" s="837">
        <v>44593389</v>
      </c>
      <c r="Q256" s="837">
        <v>244481290</v>
      </c>
      <c r="R256" s="126" t="s">
        <v>258</v>
      </c>
      <c r="S256" s="125" t="s">
        <v>66</v>
      </c>
      <c r="T256" s="2635" t="s">
        <v>2435</v>
      </c>
      <c r="U256" s="2704">
        <v>8</v>
      </c>
      <c r="V256" s="127">
        <v>40240</v>
      </c>
      <c r="W256" s="128" t="s">
        <v>297</v>
      </c>
      <c r="X256" s="4306" t="s">
        <v>527</v>
      </c>
      <c r="Y256" s="113">
        <f t="shared" ca="1" si="15"/>
        <v>7.7972222222222225</v>
      </c>
      <c r="Z256" s="79">
        <v>244</v>
      </c>
    </row>
    <row r="257" spans="1:26" ht="14.1" customHeight="1" x14ac:dyDescent="0.25">
      <c r="A257" s="79"/>
      <c r="B257" s="949" t="s">
        <v>1685</v>
      </c>
      <c r="C257" s="1496" t="s">
        <v>1638</v>
      </c>
      <c r="D257" s="3596"/>
      <c r="E257" s="2000"/>
      <c r="F257" s="3782">
        <f t="shared" si="14"/>
        <v>141.36567722657642</v>
      </c>
      <c r="G257" s="1491"/>
      <c r="H257" s="1491"/>
      <c r="I257" s="976">
        <v>111208219</v>
      </c>
      <c r="J257" s="913">
        <v>558365746</v>
      </c>
      <c r="K257" s="913">
        <v>522075646</v>
      </c>
      <c r="L257" s="913">
        <v>336321699</v>
      </c>
      <c r="M257" s="913">
        <v>582949945</v>
      </c>
      <c r="N257" s="913">
        <v>487777428</v>
      </c>
      <c r="O257" s="883">
        <v>402441466</v>
      </c>
      <c r="P257" s="913">
        <v>41973963</v>
      </c>
      <c r="Q257" s="913">
        <v>255260518</v>
      </c>
      <c r="R257" s="2291" t="s">
        <v>238</v>
      </c>
      <c r="S257" s="2293" t="s">
        <v>66</v>
      </c>
      <c r="T257" s="2650" t="s">
        <v>2435</v>
      </c>
      <c r="U257" s="2295">
        <v>1</v>
      </c>
      <c r="V257" s="2297">
        <v>36276</v>
      </c>
      <c r="W257" s="2299" t="s">
        <v>106</v>
      </c>
      <c r="X257" s="4332" t="s">
        <v>691</v>
      </c>
      <c r="Y257" s="119">
        <f t="shared" ca="1" si="15"/>
        <v>18.649999999999999</v>
      </c>
      <c r="Z257" s="79"/>
    </row>
    <row r="258" spans="1:26" ht="14.1" customHeight="1" x14ac:dyDescent="0.2">
      <c r="A258" s="79">
        <v>246</v>
      </c>
      <c r="B258" s="889" t="s">
        <v>1685</v>
      </c>
      <c r="C258" s="1229" t="s">
        <v>2091</v>
      </c>
      <c r="D258" s="1273" t="s">
        <v>40</v>
      </c>
      <c r="E258" s="1998" t="s">
        <v>2130</v>
      </c>
      <c r="F258" s="3782">
        <f t="shared" si="14"/>
        <v>141.40816892503952</v>
      </c>
      <c r="G258" s="1538">
        <f>3892.3+177+2046.6+389.7+881.6+1894+122.3+272</f>
        <v>9675.5</v>
      </c>
      <c r="H258" s="951"/>
      <c r="I258" s="802">
        <v>117288997</v>
      </c>
      <c r="J258" s="895">
        <v>554025748</v>
      </c>
      <c r="K258" s="895">
        <v>485444924</v>
      </c>
      <c r="L258" s="895">
        <v>300988671</v>
      </c>
      <c r="M258" s="895">
        <v>593540724</v>
      </c>
      <c r="N258" s="895">
        <v>465867480</v>
      </c>
      <c r="O258" s="886">
        <v>354012393</v>
      </c>
      <c r="P258" s="895">
        <v>44537348</v>
      </c>
      <c r="Q258" s="2103">
        <v>244389366</v>
      </c>
      <c r="R258" s="952" t="s">
        <v>442</v>
      </c>
      <c r="S258" s="953" t="s">
        <v>66</v>
      </c>
      <c r="T258" s="2643" t="s">
        <v>2435</v>
      </c>
      <c r="U258" s="954">
        <v>1</v>
      </c>
      <c r="V258" s="973">
        <v>42375</v>
      </c>
      <c r="W258" s="955" t="s">
        <v>73</v>
      </c>
      <c r="X258" s="4295" t="s">
        <v>574</v>
      </c>
      <c r="Y258" s="104">
        <f t="shared" ca="1" si="15"/>
        <v>1.9555555555555555</v>
      </c>
      <c r="Z258" s="79">
        <v>246</v>
      </c>
    </row>
    <row r="259" spans="1:26" ht="14.1" customHeight="1" x14ac:dyDescent="0.2">
      <c r="A259" s="79"/>
      <c r="B259" s="915" t="s">
        <v>1103</v>
      </c>
      <c r="C259" s="1225" t="s">
        <v>2609</v>
      </c>
      <c r="D259" s="1269" t="s">
        <v>40</v>
      </c>
      <c r="E259" s="1999"/>
      <c r="F259" s="3782">
        <f t="shared" si="14"/>
        <v>141.43094528062022</v>
      </c>
      <c r="G259" s="974">
        <f>92+147+140+151+147+32+86+178</f>
        <v>973</v>
      </c>
      <c r="H259" s="1888">
        <f>18+44+44+47+57+46+48+8+50</f>
        <v>362</v>
      </c>
      <c r="I259" s="840">
        <v>124668515</v>
      </c>
      <c r="J259" s="837">
        <v>554028837</v>
      </c>
      <c r="K259" s="780">
        <v>497309031</v>
      </c>
      <c r="L259" s="780">
        <v>338101826</v>
      </c>
      <c r="M259" s="780">
        <v>593685733</v>
      </c>
      <c r="N259" s="780">
        <v>488616264</v>
      </c>
      <c r="O259" s="780">
        <v>354012758</v>
      </c>
      <c r="P259" s="780">
        <v>44530651</v>
      </c>
      <c r="Q259" s="780">
        <v>244385524</v>
      </c>
      <c r="R259" s="918" t="s">
        <v>258</v>
      </c>
      <c r="S259" s="919" t="s">
        <v>66</v>
      </c>
      <c r="T259" s="2640" t="s">
        <v>2435</v>
      </c>
      <c r="U259" s="956">
        <v>1</v>
      </c>
      <c r="V259" s="920">
        <v>39524</v>
      </c>
      <c r="W259" s="921" t="s">
        <v>106</v>
      </c>
      <c r="X259" s="4309" t="s">
        <v>259</v>
      </c>
      <c r="Y259" s="113">
        <f t="shared" ca="1" si="15"/>
        <v>9.7583333333333329</v>
      </c>
      <c r="Z259" s="79"/>
    </row>
    <row r="260" spans="1:26" ht="14.1" customHeight="1" x14ac:dyDescent="0.25">
      <c r="A260" s="79">
        <v>248</v>
      </c>
      <c r="B260" s="901" t="s">
        <v>1685</v>
      </c>
      <c r="C260" s="1217" t="s">
        <v>1802</v>
      </c>
      <c r="D260" s="1270"/>
      <c r="E260" s="1998" t="s">
        <v>2130</v>
      </c>
      <c r="F260" s="3782">
        <f t="shared" si="14"/>
        <v>141.56131887552681</v>
      </c>
      <c r="G260" s="957"/>
      <c r="H260" s="2289"/>
      <c r="I260" s="836">
        <v>101416893</v>
      </c>
      <c r="J260" s="837">
        <v>565068388</v>
      </c>
      <c r="K260" s="837">
        <v>507678278</v>
      </c>
      <c r="L260" s="837">
        <v>345657866</v>
      </c>
      <c r="M260" s="837">
        <v>586334524</v>
      </c>
      <c r="N260" s="837">
        <v>488417712</v>
      </c>
      <c r="O260" s="780">
        <v>405192167</v>
      </c>
      <c r="P260" s="837">
        <v>42347894</v>
      </c>
      <c r="Q260" s="837">
        <v>270417982</v>
      </c>
      <c r="R260" s="126" t="s">
        <v>511</v>
      </c>
      <c r="S260" s="125" t="s">
        <v>66</v>
      </c>
      <c r="T260" s="2635" t="s">
        <v>2435</v>
      </c>
      <c r="U260" s="112">
        <v>1</v>
      </c>
      <c r="V260" s="127">
        <v>40036</v>
      </c>
      <c r="W260" s="128" t="s">
        <v>74</v>
      </c>
      <c r="X260" s="4306" t="s">
        <v>635</v>
      </c>
      <c r="Y260" s="113">
        <f t="shared" ca="1" si="15"/>
        <v>8.3583333333333325</v>
      </c>
      <c r="Z260" s="79">
        <v>248</v>
      </c>
    </row>
    <row r="261" spans="1:26" ht="14.1" customHeight="1" x14ac:dyDescent="0.2">
      <c r="A261" s="79"/>
      <c r="B261" s="949" t="s">
        <v>1685</v>
      </c>
      <c r="C261" s="1221" t="s">
        <v>582</v>
      </c>
      <c r="D261" s="1944" t="s">
        <v>40</v>
      </c>
      <c r="E261" s="1999" t="s">
        <v>2130</v>
      </c>
      <c r="F261" s="3782">
        <f t="shared" si="14"/>
        <v>141.56233181921229</v>
      </c>
      <c r="G261" s="3603">
        <f>228+405+0+264+392+163+49+285+333</f>
        <v>2119</v>
      </c>
      <c r="H261" s="1491"/>
      <c r="I261" s="882">
        <v>131825277</v>
      </c>
      <c r="J261" s="913">
        <v>558607972</v>
      </c>
      <c r="K261" s="913">
        <v>506105209</v>
      </c>
      <c r="L261" s="913">
        <v>313714771</v>
      </c>
      <c r="M261" s="913">
        <v>608815359</v>
      </c>
      <c r="N261" s="913">
        <v>496524246</v>
      </c>
      <c r="O261" s="883">
        <v>347931011</v>
      </c>
      <c r="P261" s="883">
        <v>47215863</v>
      </c>
      <c r="Q261" s="913">
        <v>216068080</v>
      </c>
      <c r="R261" s="884" t="s">
        <v>583</v>
      </c>
      <c r="S261" s="116" t="s">
        <v>66</v>
      </c>
      <c r="T261" s="2641" t="s">
        <v>2435</v>
      </c>
      <c r="U261" s="117">
        <v>1</v>
      </c>
      <c r="V261" s="885">
        <v>40977</v>
      </c>
      <c r="W261" s="118" t="s">
        <v>585</v>
      </c>
      <c r="X261" s="4294" t="s">
        <v>584</v>
      </c>
      <c r="Y261" s="119">
        <f t="shared" ca="1" si="15"/>
        <v>5.7805555555555559</v>
      </c>
      <c r="Z261" s="79"/>
    </row>
    <row r="262" spans="1:26" ht="14.1" customHeight="1" x14ac:dyDescent="0.2">
      <c r="A262" s="79">
        <v>250</v>
      </c>
      <c r="B262" s="889" t="s">
        <v>1685</v>
      </c>
      <c r="C262" s="4492" t="s">
        <v>2092</v>
      </c>
      <c r="D262" s="1273" t="s">
        <v>40</v>
      </c>
      <c r="E262" s="1998" t="s">
        <v>2130</v>
      </c>
      <c r="F262" s="3782">
        <f t="shared" si="14"/>
        <v>141.59783322486504</v>
      </c>
      <c r="G262" s="1538">
        <f>4307+182+2179.8+353+1253+2129+133+331+163</f>
        <v>11030.8</v>
      </c>
      <c r="H262" s="951"/>
      <c r="I262" s="802">
        <v>117288997</v>
      </c>
      <c r="J262" s="895">
        <v>554025748</v>
      </c>
      <c r="K262" s="895">
        <v>485444924</v>
      </c>
      <c r="L262" s="895">
        <v>300988671</v>
      </c>
      <c r="M262" s="895">
        <v>593540724</v>
      </c>
      <c r="N262" s="895">
        <v>451969950</v>
      </c>
      <c r="O262" s="886">
        <v>354012393</v>
      </c>
      <c r="P262" s="895">
        <v>44537348</v>
      </c>
      <c r="Q262" s="2103">
        <v>244389366</v>
      </c>
      <c r="R262" s="952" t="s">
        <v>442</v>
      </c>
      <c r="S262" s="2719" t="s">
        <v>62</v>
      </c>
      <c r="T262" s="2738" t="s">
        <v>2435</v>
      </c>
      <c r="U262" s="954">
        <v>1</v>
      </c>
      <c r="V262" s="973">
        <v>42498</v>
      </c>
      <c r="W262" s="955" t="s">
        <v>73</v>
      </c>
      <c r="X262" s="4295" t="s">
        <v>2090</v>
      </c>
      <c r="Y262" s="104">
        <f t="shared" ca="1" si="15"/>
        <v>1.6166666666666667</v>
      </c>
      <c r="Z262" s="79">
        <v>250</v>
      </c>
    </row>
    <row r="263" spans="1:26" ht="14.1" customHeight="1" x14ac:dyDescent="0.25">
      <c r="A263" s="79"/>
      <c r="B263" s="98" t="s">
        <v>1685</v>
      </c>
      <c r="C263" s="1217" t="s">
        <v>573</v>
      </c>
      <c r="D263" s="1270"/>
      <c r="E263" s="1999" t="s">
        <v>2130</v>
      </c>
      <c r="F263" s="3782">
        <f t="shared" si="14"/>
        <v>141.69460556207608</v>
      </c>
      <c r="G263" s="108">
        <f>180+201+2024+290+480+68+947+516</f>
        <v>4706</v>
      </c>
      <c r="H263" s="111"/>
      <c r="I263" s="840">
        <v>117309103</v>
      </c>
      <c r="J263" s="780">
        <v>554026701</v>
      </c>
      <c r="K263" s="780">
        <v>485721302</v>
      </c>
      <c r="L263" s="780">
        <v>302037213</v>
      </c>
      <c r="M263" s="780">
        <v>662499328</v>
      </c>
      <c r="N263" s="780">
        <v>492103406</v>
      </c>
      <c r="O263" s="2371">
        <v>354012394</v>
      </c>
      <c r="P263" s="2371">
        <v>44552834</v>
      </c>
      <c r="Q263" s="2371">
        <v>244389367</v>
      </c>
      <c r="R263" s="126" t="s">
        <v>442</v>
      </c>
      <c r="S263" s="125" t="s">
        <v>66</v>
      </c>
      <c r="T263" s="2635" t="s">
        <v>2435</v>
      </c>
      <c r="U263" s="112">
        <v>1</v>
      </c>
      <c r="V263" s="127">
        <v>40811</v>
      </c>
      <c r="W263" s="128" t="s">
        <v>73</v>
      </c>
      <c r="X263" s="4306" t="s">
        <v>574</v>
      </c>
      <c r="Y263" s="113">
        <f t="shared" ca="1" si="15"/>
        <v>6.2361111111111107</v>
      </c>
      <c r="Z263" s="79"/>
    </row>
    <row r="264" spans="1:26" ht="14.1" customHeight="1" x14ac:dyDescent="0.2">
      <c r="A264" s="79">
        <v>252</v>
      </c>
      <c r="B264" s="3796" t="s">
        <v>1685</v>
      </c>
      <c r="C264" s="3948" t="s">
        <v>1279</v>
      </c>
      <c r="D264" s="596" t="s">
        <v>40</v>
      </c>
      <c r="E264" s="1996" t="s">
        <v>2130</v>
      </c>
      <c r="F264" s="3906">
        <f t="shared" si="14"/>
        <v>141.8927585565765</v>
      </c>
      <c r="G264" s="4002"/>
      <c r="H264" s="4034"/>
      <c r="I264" s="840">
        <v>130268297</v>
      </c>
      <c r="J264" s="780">
        <v>547030119</v>
      </c>
      <c r="K264" s="780">
        <v>487528536</v>
      </c>
      <c r="L264" s="780">
        <v>329906597</v>
      </c>
      <c r="M264" s="780">
        <v>593307632</v>
      </c>
      <c r="N264" s="780">
        <v>484069428</v>
      </c>
      <c r="O264" s="780">
        <v>345297100</v>
      </c>
      <c r="P264" s="780">
        <v>48101506</v>
      </c>
      <c r="Q264" s="780">
        <v>242196332</v>
      </c>
      <c r="R264" s="4078" t="s">
        <v>239</v>
      </c>
      <c r="S264" s="4104" t="s">
        <v>131</v>
      </c>
      <c r="T264" s="3876" t="s">
        <v>2435</v>
      </c>
      <c r="U264" s="4150">
        <v>1</v>
      </c>
      <c r="V264" s="4179">
        <v>33358</v>
      </c>
      <c r="W264" s="4206" t="s">
        <v>240</v>
      </c>
      <c r="X264" s="4320" t="s">
        <v>241</v>
      </c>
      <c r="Y264" s="3666">
        <f t="shared" ca="1" si="15"/>
        <v>26.638888888888889</v>
      </c>
      <c r="Z264" s="79">
        <v>252</v>
      </c>
    </row>
    <row r="265" spans="1:26" ht="14.1" customHeight="1" x14ac:dyDescent="0.25">
      <c r="A265" s="79"/>
      <c r="B265" s="949" t="s">
        <v>1685</v>
      </c>
      <c r="C265" s="1496" t="s">
        <v>1655</v>
      </c>
      <c r="D265" s="1947"/>
      <c r="E265" s="2000"/>
      <c r="F265" s="3782">
        <f t="shared" si="14"/>
        <v>141.90275077577417</v>
      </c>
      <c r="G265" s="3603">
        <f>236+803+738+867+708+588+731+140+1106</f>
        <v>5917</v>
      </c>
      <c r="H265" s="1491"/>
      <c r="I265" s="882">
        <v>102426328</v>
      </c>
      <c r="J265" s="883">
        <v>574786046</v>
      </c>
      <c r="K265" s="883">
        <v>515819352</v>
      </c>
      <c r="L265" s="883">
        <v>335793206</v>
      </c>
      <c r="M265" s="883">
        <v>593804320</v>
      </c>
      <c r="N265" s="883">
        <v>497512746</v>
      </c>
      <c r="O265" s="883">
        <v>402142662</v>
      </c>
      <c r="P265" s="883">
        <v>42419792</v>
      </c>
      <c r="Q265" s="883">
        <v>237356450</v>
      </c>
      <c r="R265" s="4090" t="s">
        <v>243</v>
      </c>
      <c r="S265" s="3603" t="s">
        <v>66</v>
      </c>
      <c r="T265" s="2929" t="s">
        <v>2435</v>
      </c>
      <c r="U265" s="2295">
        <v>1</v>
      </c>
      <c r="V265" s="4192">
        <v>36460</v>
      </c>
      <c r="W265" s="2299" t="s">
        <v>71</v>
      </c>
      <c r="X265" s="4332" t="s">
        <v>244</v>
      </c>
      <c r="Y265" s="119">
        <f t="shared" ca="1" si="15"/>
        <v>18.147222222222222</v>
      </c>
      <c r="Z265" s="79"/>
    </row>
    <row r="266" spans="1:26" ht="14.1" customHeight="1" x14ac:dyDescent="0.25">
      <c r="A266" s="79">
        <v>254</v>
      </c>
      <c r="B266" s="103" t="s">
        <v>1685</v>
      </c>
      <c r="C266" s="1220" t="s">
        <v>1423</v>
      </c>
      <c r="D266" s="1845"/>
      <c r="E266" s="1998" t="s">
        <v>2130</v>
      </c>
      <c r="F266" s="3782">
        <f t="shared" si="14"/>
        <v>142.07039074361066</v>
      </c>
      <c r="G266" s="914">
        <f>92.6+185.79+193.23+112.66+80.13+45.59+19.76+110.84+89.21</f>
        <v>929.81000000000006</v>
      </c>
      <c r="H266" s="3845"/>
      <c r="I266" s="822">
        <v>111646859</v>
      </c>
      <c r="J266" s="886">
        <v>554783009</v>
      </c>
      <c r="K266" s="886">
        <v>494831432</v>
      </c>
      <c r="L266" s="886">
        <v>347265362</v>
      </c>
      <c r="M266" s="886">
        <v>586234137</v>
      </c>
      <c r="N266" s="886">
        <v>488704485</v>
      </c>
      <c r="O266" s="886">
        <v>373361345</v>
      </c>
      <c r="P266" s="886">
        <v>43118589</v>
      </c>
      <c r="Q266" s="886">
        <v>271993931</v>
      </c>
      <c r="R266" s="121" t="s">
        <v>568</v>
      </c>
      <c r="S266" s="914" t="s">
        <v>66</v>
      </c>
      <c r="T266" s="2639" t="s">
        <v>2435</v>
      </c>
      <c r="U266" s="122">
        <v>1</v>
      </c>
      <c r="V266" s="123">
        <v>40817</v>
      </c>
      <c r="W266" s="124" t="s">
        <v>174</v>
      </c>
      <c r="X266" s="4308" t="s">
        <v>569</v>
      </c>
      <c r="Y266" s="104">
        <f t="shared" ca="1" si="15"/>
        <v>6.2194444444444441</v>
      </c>
      <c r="Z266" s="79">
        <v>254</v>
      </c>
    </row>
    <row r="267" spans="1:26" ht="14.1" customHeight="1" x14ac:dyDescent="0.2">
      <c r="A267" s="79"/>
      <c r="B267" s="901" t="s">
        <v>1685</v>
      </c>
      <c r="C267" s="1225" t="s">
        <v>1639</v>
      </c>
      <c r="D267" s="1269" t="s">
        <v>40</v>
      </c>
      <c r="E267" s="1999" t="s">
        <v>2130</v>
      </c>
      <c r="F267" s="3782">
        <f t="shared" si="14"/>
        <v>142.13748233466688</v>
      </c>
      <c r="G267" s="4017">
        <f>31+99+0+187+125+60+21+306+185</f>
        <v>1014</v>
      </c>
      <c r="H267" s="968"/>
      <c r="I267" s="837">
        <v>114313454</v>
      </c>
      <c r="J267" s="837">
        <v>579545738</v>
      </c>
      <c r="K267" s="837">
        <v>512895544</v>
      </c>
      <c r="L267" s="837">
        <v>339473946</v>
      </c>
      <c r="M267" s="837">
        <v>627327795</v>
      </c>
      <c r="N267" s="837">
        <v>519108703</v>
      </c>
      <c r="O267" s="780">
        <v>369473789</v>
      </c>
      <c r="P267" s="837">
        <v>43061571</v>
      </c>
      <c r="Q267" s="837">
        <v>235687368</v>
      </c>
      <c r="R267" s="969" t="s">
        <v>1852</v>
      </c>
      <c r="S267" s="970" t="s">
        <v>66</v>
      </c>
      <c r="T267" s="2653" t="s">
        <v>2435</v>
      </c>
      <c r="U267" s="4166">
        <v>2</v>
      </c>
      <c r="V267" s="4194">
        <v>40832</v>
      </c>
      <c r="W267" s="971" t="s">
        <v>74</v>
      </c>
      <c r="X267" s="4334" t="s">
        <v>567</v>
      </c>
      <c r="Y267" s="113">
        <f t="shared" ca="1" si="15"/>
        <v>6.177777777777778</v>
      </c>
      <c r="Z267" s="79"/>
    </row>
    <row r="268" spans="1:26" ht="14.1" customHeight="1" x14ac:dyDescent="0.2">
      <c r="A268" s="79">
        <v>256</v>
      </c>
      <c r="B268" s="908" t="s">
        <v>1685</v>
      </c>
      <c r="C268" s="1231" t="s">
        <v>186</v>
      </c>
      <c r="D268" s="1269" t="s">
        <v>40</v>
      </c>
      <c r="E268" s="1998" t="s">
        <v>2130</v>
      </c>
      <c r="F268" s="3782">
        <f t="shared" si="14"/>
        <v>142.20980276629453</v>
      </c>
      <c r="G268" s="916"/>
      <c r="H268" s="917"/>
      <c r="I268" s="840">
        <v>119652270</v>
      </c>
      <c r="J268" s="780">
        <v>585613851</v>
      </c>
      <c r="K268" s="780">
        <v>528945788</v>
      </c>
      <c r="L268" s="780">
        <v>334446800</v>
      </c>
      <c r="M268" s="780">
        <v>638666005</v>
      </c>
      <c r="N268" s="780">
        <v>530428771</v>
      </c>
      <c r="O268" s="780">
        <v>365375109</v>
      </c>
      <c r="P268" s="780">
        <v>45421692</v>
      </c>
      <c r="Q268" s="780">
        <v>210125221</v>
      </c>
      <c r="R268" s="918" t="s">
        <v>155</v>
      </c>
      <c r="S268" s="919" t="s">
        <v>66</v>
      </c>
      <c r="T268" s="2640" t="s">
        <v>2435</v>
      </c>
      <c r="U268" s="956">
        <v>1</v>
      </c>
      <c r="V268" s="920">
        <v>39298</v>
      </c>
      <c r="W268" s="921" t="s">
        <v>156</v>
      </c>
      <c r="X268" s="4309" t="s">
        <v>157</v>
      </c>
      <c r="Y268" s="113">
        <f t="shared" ca="1" si="15"/>
        <v>10.377777777777778</v>
      </c>
      <c r="Z268" s="79">
        <v>256</v>
      </c>
    </row>
    <row r="269" spans="1:26" ht="14.1" customHeight="1" x14ac:dyDescent="0.2">
      <c r="A269" s="79"/>
      <c r="B269" s="972" t="s">
        <v>1685</v>
      </c>
      <c r="C269" s="1223" t="s">
        <v>758</v>
      </c>
      <c r="D269" s="1944" t="s">
        <v>40</v>
      </c>
      <c r="E269" s="1999" t="s">
        <v>2130</v>
      </c>
      <c r="F269" s="3782">
        <f t="shared" ref="F269:F332" si="16">SUM(I269/I$11,J269/J$11,K269/K$11,L269/L$11,M269/M$11,N269/N$11,O269/O$11,P269/P$11,Q269/Q$11)/9*100+(G269/5000)+(IF(H269 = 0,G269,H269)/5000)</f>
        <v>142.31204551278245</v>
      </c>
      <c r="G269" s="2597">
        <f>180.447+276.247+278.057+192.796+181.082+81.489+25.212+205.319+189.268</f>
        <v>1609.9169999999999</v>
      </c>
      <c r="H269" s="115"/>
      <c r="I269" s="882">
        <v>106398059</v>
      </c>
      <c r="J269" s="883">
        <v>564181812</v>
      </c>
      <c r="K269" s="883">
        <v>501013479</v>
      </c>
      <c r="L269" s="913">
        <v>349841470</v>
      </c>
      <c r="M269" s="913">
        <v>592363258</v>
      </c>
      <c r="N269" s="883">
        <v>491381520</v>
      </c>
      <c r="O269" s="883">
        <v>380220211</v>
      </c>
      <c r="P269" s="883">
        <v>44141947</v>
      </c>
      <c r="Q269" s="883">
        <v>264149135</v>
      </c>
      <c r="R269" s="892" t="s">
        <v>558</v>
      </c>
      <c r="S269" s="925" t="s">
        <v>66</v>
      </c>
      <c r="T269" s="2656" t="s">
        <v>2435</v>
      </c>
      <c r="U269" s="926">
        <v>1</v>
      </c>
      <c r="V269" s="893">
        <v>40486</v>
      </c>
      <c r="W269" s="894" t="s">
        <v>485</v>
      </c>
      <c r="X269" s="4322" t="s">
        <v>547</v>
      </c>
      <c r="Y269" s="119">
        <f t="shared" ca="1" si="15"/>
        <v>7.1277777777777782</v>
      </c>
      <c r="Z269" s="79"/>
    </row>
    <row r="270" spans="1:26" ht="14.1" customHeight="1" x14ac:dyDescent="0.2">
      <c r="A270" s="79">
        <v>258</v>
      </c>
      <c r="B270" s="876" t="s">
        <v>1685</v>
      </c>
      <c r="C270" s="1229" t="s">
        <v>2608</v>
      </c>
      <c r="D270" s="1273" t="s">
        <v>40</v>
      </c>
      <c r="E270" s="1998" t="s">
        <v>2130</v>
      </c>
      <c r="F270" s="3782">
        <f t="shared" si="16"/>
        <v>142.95618816462317</v>
      </c>
      <c r="G270" s="1538">
        <f>388.631+422.222+1311.526+564.191+352.37+871.34+2241.113+84.679+669.775</f>
        <v>6905.8469999999998</v>
      </c>
      <c r="H270" s="951"/>
      <c r="I270" s="802">
        <v>101972073</v>
      </c>
      <c r="J270" s="895">
        <v>571082898</v>
      </c>
      <c r="K270" s="895">
        <v>526175874</v>
      </c>
      <c r="L270" s="886">
        <v>337041331</v>
      </c>
      <c r="M270" s="886">
        <v>580904537</v>
      </c>
      <c r="N270" s="886">
        <v>487131424</v>
      </c>
      <c r="O270" s="886">
        <v>418001319</v>
      </c>
      <c r="P270" s="886">
        <v>41094082</v>
      </c>
      <c r="Q270" s="2327">
        <v>248943396</v>
      </c>
      <c r="R270" s="952" t="s">
        <v>1854</v>
      </c>
      <c r="S270" s="1538" t="s">
        <v>66</v>
      </c>
      <c r="T270" s="2738" t="s">
        <v>2435</v>
      </c>
      <c r="U270" s="954">
        <v>1</v>
      </c>
      <c r="V270" s="973">
        <v>42268</v>
      </c>
      <c r="W270" s="955" t="s">
        <v>76</v>
      </c>
      <c r="X270" s="4295" t="s">
        <v>691</v>
      </c>
      <c r="Y270" s="104">
        <f t="shared" ca="1" si="15"/>
        <v>2.2472222222222222</v>
      </c>
      <c r="Z270" s="79">
        <v>258</v>
      </c>
    </row>
    <row r="271" spans="1:26" ht="14.1" customHeight="1" x14ac:dyDescent="0.25">
      <c r="A271" s="79"/>
      <c r="B271" s="915" t="s">
        <v>1103</v>
      </c>
      <c r="C271" s="2745" t="s">
        <v>1640</v>
      </c>
      <c r="D271" s="1952"/>
      <c r="E271" s="2005"/>
      <c r="F271" s="3782">
        <f t="shared" si="16"/>
        <v>143.09261225236312</v>
      </c>
      <c r="G271" s="942"/>
      <c r="H271" s="943"/>
      <c r="I271" s="944">
        <v>133687676</v>
      </c>
      <c r="J271" s="808">
        <v>554118890</v>
      </c>
      <c r="K271" s="808">
        <v>497781185</v>
      </c>
      <c r="L271" s="808">
        <v>340866714</v>
      </c>
      <c r="M271" s="808">
        <v>593663678</v>
      </c>
      <c r="N271" s="808">
        <v>488653347</v>
      </c>
      <c r="O271" s="781">
        <v>354881146</v>
      </c>
      <c r="P271" s="808">
        <v>44921862</v>
      </c>
      <c r="Q271" s="808">
        <v>246317161</v>
      </c>
      <c r="R271" s="877" t="s">
        <v>216</v>
      </c>
      <c r="S271" s="878" t="s">
        <v>66</v>
      </c>
      <c r="T271" s="2640" t="s">
        <v>2435</v>
      </c>
      <c r="U271" s="879">
        <v>1</v>
      </c>
      <c r="V271" s="2335">
        <v>38642</v>
      </c>
      <c r="W271" s="881" t="s">
        <v>73</v>
      </c>
      <c r="X271" s="4285" t="s">
        <v>25</v>
      </c>
      <c r="Y271" s="852">
        <f t="shared" ca="1" si="15"/>
        <v>12.175000000000001</v>
      </c>
      <c r="Z271" s="79"/>
    </row>
    <row r="272" spans="1:26" ht="14.1" customHeight="1" x14ac:dyDescent="0.2">
      <c r="A272" s="79">
        <v>260</v>
      </c>
      <c r="B272" s="844" t="s">
        <v>1685</v>
      </c>
      <c r="C272" s="1226" t="s">
        <v>665</v>
      </c>
      <c r="D272" s="1417"/>
      <c r="E272" s="1998" t="s">
        <v>2130</v>
      </c>
      <c r="F272" s="3782">
        <f t="shared" si="16"/>
        <v>143.31732355214032</v>
      </c>
      <c r="G272" s="2601"/>
      <c r="H272" s="4035"/>
      <c r="I272" s="845">
        <v>111560747</v>
      </c>
      <c r="J272" s="846">
        <v>572008149</v>
      </c>
      <c r="K272" s="846">
        <v>524059578</v>
      </c>
      <c r="L272" s="846">
        <v>337951280</v>
      </c>
      <c r="M272" s="846">
        <v>582770212</v>
      </c>
      <c r="N272" s="846">
        <v>487746292</v>
      </c>
      <c r="O272" s="846">
        <v>424366200</v>
      </c>
      <c r="P272" s="846">
        <v>42629277</v>
      </c>
      <c r="Q272" s="846">
        <v>257386209</v>
      </c>
      <c r="R272" s="847" t="s">
        <v>654</v>
      </c>
      <c r="S272" s="1494" t="s">
        <v>66</v>
      </c>
      <c r="T272" s="2651" t="s">
        <v>2435</v>
      </c>
      <c r="U272" s="849">
        <v>1</v>
      </c>
      <c r="V272" s="850">
        <v>36111</v>
      </c>
      <c r="W272" s="851" t="s">
        <v>240</v>
      </c>
      <c r="X272" s="4313" t="s">
        <v>280</v>
      </c>
      <c r="Y272" s="852">
        <f t="shared" ca="1" si="15"/>
        <v>19.105555555555554</v>
      </c>
      <c r="Z272" s="79">
        <v>260</v>
      </c>
    </row>
    <row r="273" spans="1:26" ht="14.1" customHeight="1" x14ac:dyDescent="0.2">
      <c r="A273" s="79"/>
      <c r="B273" s="98" t="s">
        <v>1685</v>
      </c>
      <c r="C273" s="2558" t="s">
        <v>677</v>
      </c>
      <c r="D273" s="1269" t="s">
        <v>40</v>
      </c>
      <c r="E273" s="1999" t="s">
        <v>2130</v>
      </c>
      <c r="F273" s="3782">
        <f t="shared" si="16"/>
        <v>143.38442237344663</v>
      </c>
      <c r="G273" s="945"/>
      <c r="H273" s="927"/>
      <c r="I273" s="940">
        <v>129146242</v>
      </c>
      <c r="J273" s="781">
        <v>554252461</v>
      </c>
      <c r="K273" s="781">
        <v>487805169</v>
      </c>
      <c r="L273" s="808">
        <v>330832519</v>
      </c>
      <c r="M273" s="781">
        <v>590607127</v>
      </c>
      <c r="N273" s="781">
        <v>484425757</v>
      </c>
      <c r="O273" s="781">
        <v>354450063</v>
      </c>
      <c r="P273" s="781">
        <v>49494548</v>
      </c>
      <c r="Q273" s="781">
        <v>249180676</v>
      </c>
      <c r="R273" s="873" t="s">
        <v>353</v>
      </c>
      <c r="S273" s="874" t="s">
        <v>131</v>
      </c>
      <c r="T273" s="2635" t="s">
        <v>2435</v>
      </c>
      <c r="U273" s="860">
        <v>1</v>
      </c>
      <c r="V273" s="875">
        <v>35940</v>
      </c>
      <c r="W273" s="2772" t="s">
        <v>106</v>
      </c>
      <c r="X273" s="4288" t="s">
        <v>2132</v>
      </c>
      <c r="Y273" s="857">
        <f t="shared" ca="1" si="15"/>
        <v>19.569444444444443</v>
      </c>
      <c r="Z273" s="79"/>
    </row>
    <row r="274" spans="1:26" ht="14.1" customHeight="1" x14ac:dyDescent="0.25">
      <c r="A274" s="79">
        <v>262</v>
      </c>
      <c r="B274" s="915" t="s">
        <v>1103</v>
      </c>
      <c r="C274" s="1231" t="s">
        <v>1194</v>
      </c>
      <c r="D274" s="1952"/>
      <c r="E274" s="2002"/>
      <c r="F274" s="3782">
        <f t="shared" si="16"/>
        <v>143.60490653652471</v>
      </c>
      <c r="G274" s="942"/>
      <c r="H274" s="943"/>
      <c r="I274" s="944">
        <v>130672637</v>
      </c>
      <c r="J274" s="808">
        <v>557355933</v>
      </c>
      <c r="K274" s="808">
        <v>501069368</v>
      </c>
      <c r="L274" s="808">
        <v>342552699</v>
      </c>
      <c r="M274" s="808">
        <v>597445694</v>
      </c>
      <c r="N274" s="808">
        <v>491240975</v>
      </c>
      <c r="O274" s="781">
        <v>356262847</v>
      </c>
      <c r="P274" s="808">
        <v>45652966</v>
      </c>
      <c r="Q274" s="808">
        <v>249737668</v>
      </c>
      <c r="R274" s="877" t="s">
        <v>294</v>
      </c>
      <c r="S274" s="878" t="s">
        <v>66</v>
      </c>
      <c r="T274" s="2640" t="s">
        <v>2435</v>
      </c>
      <c r="U274" s="879">
        <v>1</v>
      </c>
      <c r="V274" s="2335">
        <v>37340</v>
      </c>
      <c r="W274" s="881" t="s">
        <v>76</v>
      </c>
      <c r="X274" s="4285" t="s">
        <v>107</v>
      </c>
      <c r="Y274" s="852">
        <f t="shared" ca="1" si="15"/>
        <v>15.736111111111111</v>
      </c>
      <c r="Z274" s="79">
        <v>262</v>
      </c>
    </row>
    <row r="275" spans="1:26" ht="14.1" customHeight="1" x14ac:dyDescent="0.2">
      <c r="A275" s="79"/>
      <c r="B275" s="2301" t="s">
        <v>1685</v>
      </c>
      <c r="C275" s="3974" t="s">
        <v>2228</v>
      </c>
      <c r="D275" s="1944" t="s">
        <v>40</v>
      </c>
      <c r="E275" s="1999"/>
      <c r="F275" s="3782">
        <f t="shared" si="16"/>
        <v>144.0284390730001</v>
      </c>
      <c r="G275" s="1506">
        <f>178.5+103.5+98.6+470.2+362.1+142.7+134+229.9+1168.5</f>
        <v>2888</v>
      </c>
      <c r="H275" s="1304"/>
      <c r="I275" s="941">
        <v>115872035</v>
      </c>
      <c r="J275" s="939">
        <v>506288667</v>
      </c>
      <c r="K275" s="939">
        <v>491703883</v>
      </c>
      <c r="L275" s="939">
        <v>360235716</v>
      </c>
      <c r="M275" s="939">
        <v>581544590</v>
      </c>
      <c r="N275" s="939">
        <v>487015811</v>
      </c>
      <c r="O275" s="843">
        <v>370208619</v>
      </c>
      <c r="P275" s="939">
        <v>57689687</v>
      </c>
      <c r="Q275" s="1516">
        <v>228757719</v>
      </c>
      <c r="R275" s="1305" t="s">
        <v>109</v>
      </c>
      <c r="S275" s="3868" t="s">
        <v>66</v>
      </c>
      <c r="T275" s="2652" t="s">
        <v>2435</v>
      </c>
      <c r="U275" s="1425">
        <v>1</v>
      </c>
      <c r="V275" s="1892">
        <v>42651</v>
      </c>
      <c r="W275" s="1306" t="s">
        <v>1221</v>
      </c>
      <c r="X275" s="4340" t="s">
        <v>2225</v>
      </c>
      <c r="Y275" s="857">
        <f t="shared" ca="1" si="15"/>
        <v>1.2</v>
      </c>
      <c r="Z275" s="79"/>
    </row>
    <row r="276" spans="1:26" ht="14.1" customHeight="1" x14ac:dyDescent="0.2">
      <c r="A276" s="79">
        <v>264</v>
      </c>
      <c r="B276" s="844" t="s">
        <v>1685</v>
      </c>
      <c r="C276" s="1226" t="s">
        <v>1081</v>
      </c>
      <c r="D276" s="1417" t="s">
        <v>40</v>
      </c>
      <c r="E276" s="1998" t="s">
        <v>2130</v>
      </c>
      <c r="F276" s="3782">
        <f t="shared" si="16"/>
        <v>144.2022238403674</v>
      </c>
      <c r="G276" s="934">
        <f>823+0+0+2229+838+2664+2055+349+1962</f>
        <v>10920</v>
      </c>
      <c r="H276" s="1494"/>
      <c r="I276" s="845">
        <v>119138243</v>
      </c>
      <c r="J276" s="846">
        <v>565184095</v>
      </c>
      <c r="K276" s="846">
        <v>517385677</v>
      </c>
      <c r="L276" s="846">
        <v>328201681</v>
      </c>
      <c r="M276" s="846">
        <v>611353872</v>
      </c>
      <c r="N276" s="846">
        <v>509016843</v>
      </c>
      <c r="O276" s="846">
        <v>365060336</v>
      </c>
      <c r="P276" s="846">
        <v>46447306</v>
      </c>
      <c r="Q276" s="846">
        <v>206667389</v>
      </c>
      <c r="R276" s="847" t="s">
        <v>1071</v>
      </c>
      <c r="S276" s="1494" t="s">
        <v>330</v>
      </c>
      <c r="T276" s="2651" t="s">
        <v>2435</v>
      </c>
      <c r="U276" s="849">
        <v>1</v>
      </c>
      <c r="V276" s="850">
        <v>41159</v>
      </c>
      <c r="W276" s="851" t="s">
        <v>156</v>
      </c>
      <c r="X276" s="4313" t="s">
        <v>157</v>
      </c>
      <c r="Y276" s="852">
        <f t="shared" ca="1" si="15"/>
        <v>5.2861111111111114</v>
      </c>
      <c r="Z276" s="79">
        <v>264</v>
      </c>
    </row>
    <row r="277" spans="1:26" ht="14.1" customHeight="1" x14ac:dyDescent="0.2">
      <c r="A277" s="79"/>
      <c r="B277" s="928" t="s">
        <v>1685</v>
      </c>
      <c r="C277" s="1228" t="s">
        <v>182</v>
      </c>
      <c r="D277" s="1269" t="s">
        <v>40</v>
      </c>
      <c r="E277" s="1999" t="s">
        <v>2130</v>
      </c>
      <c r="F277" s="3782">
        <f t="shared" si="16"/>
        <v>144.23414511749905</v>
      </c>
      <c r="G277" s="929"/>
      <c r="H277" s="930"/>
      <c r="I277" s="944">
        <v>120143848</v>
      </c>
      <c r="J277" s="808">
        <v>549045312</v>
      </c>
      <c r="K277" s="808">
        <v>522779225</v>
      </c>
      <c r="L277" s="808">
        <v>352548930</v>
      </c>
      <c r="M277" s="808">
        <v>595333628</v>
      </c>
      <c r="N277" s="808">
        <v>497901902</v>
      </c>
      <c r="O277" s="781">
        <v>366717383</v>
      </c>
      <c r="P277" s="808">
        <v>47588867</v>
      </c>
      <c r="Q277" s="808">
        <v>254714562</v>
      </c>
      <c r="R277" s="2121" t="s">
        <v>183</v>
      </c>
      <c r="S277" s="2123" t="s">
        <v>66</v>
      </c>
      <c r="T277" s="2654" t="s">
        <v>2435</v>
      </c>
      <c r="U277" s="931">
        <v>1</v>
      </c>
      <c r="V277" s="4195">
        <v>39020</v>
      </c>
      <c r="W277" s="933" t="s">
        <v>98</v>
      </c>
      <c r="X277" s="4326" t="s">
        <v>365</v>
      </c>
      <c r="Y277" s="857">
        <f t="shared" ca="1" si="15"/>
        <v>11.138888888888889</v>
      </c>
      <c r="Z277" s="79"/>
    </row>
    <row r="278" spans="1:26" ht="14.1" customHeight="1" x14ac:dyDescent="0.25">
      <c r="A278" s="79">
        <v>266</v>
      </c>
      <c r="B278" s="915" t="s">
        <v>1103</v>
      </c>
      <c r="C278" s="2818" t="s">
        <v>1424</v>
      </c>
      <c r="D278" s="1952"/>
      <c r="E278" s="2002"/>
      <c r="F278" s="3782">
        <f t="shared" si="16"/>
        <v>144.29731815909324</v>
      </c>
      <c r="G278" s="942"/>
      <c r="H278" s="943"/>
      <c r="I278" s="944">
        <v>123846884</v>
      </c>
      <c r="J278" s="808">
        <v>411512894</v>
      </c>
      <c r="K278" s="808">
        <v>518224376</v>
      </c>
      <c r="L278" s="808">
        <v>379081389</v>
      </c>
      <c r="M278" s="808">
        <v>592456838</v>
      </c>
      <c r="N278" s="808">
        <v>488623941</v>
      </c>
      <c r="O278" s="781">
        <v>311642188</v>
      </c>
      <c r="P278" s="808">
        <v>51969434</v>
      </c>
      <c r="Q278" s="808">
        <v>306134053</v>
      </c>
      <c r="R278" s="877" t="s">
        <v>122</v>
      </c>
      <c r="S278" s="878" t="s">
        <v>131</v>
      </c>
      <c r="T278" s="2644" t="s">
        <v>2435</v>
      </c>
      <c r="U278" s="879">
        <v>1</v>
      </c>
      <c r="V278" s="880">
        <v>35209</v>
      </c>
      <c r="W278" s="881" t="s">
        <v>71</v>
      </c>
      <c r="X278" s="4285" t="s">
        <v>691</v>
      </c>
      <c r="Y278" s="852">
        <f t="shared" ca="1" si="15"/>
        <v>21.572222222222223</v>
      </c>
      <c r="Z278" s="79">
        <v>266</v>
      </c>
    </row>
    <row r="279" spans="1:26" ht="14.1" customHeight="1" x14ac:dyDescent="0.25">
      <c r="A279" s="79"/>
      <c r="B279" s="2557" t="s">
        <v>1103</v>
      </c>
      <c r="C279" s="3975" t="s">
        <v>1425</v>
      </c>
      <c r="D279" s="3989"/>
      <c r="E279" s="2005"/>
      <c r="F279" s="3782">
        <f t="shared" si="16"/>
        <v>144.29903343888466</v>
      </c>
      <c r="G279" s="2101"/>
      <c r="H279" s="1304"/>
      <c r="I279" s="941">
        <v>123846884</v>
      </c>
      <c r="J279" s="939">
        <v>411512894</v>
      </c>
      <c r="K279" s="939">
        <v>518224586</v>
      </c>
      <c r="L279" s="939">
        <v>379067633</v>
      </c>
      <c r="M279" s="939">
        <v>592454379</v>
      </c>
      <c r="N279" s="939">
        <v>488624239</v>
      </c>
      <c r="O279" s="843">
        <v>311642188</v>
      </c>
      <c r="P279" s="939">
        <v>51975848</v>
      </c>
      <c r="Q279" s="939">
        <v>306134053</v>
      </c>
      <c r="R279" s="1305" t="s">
        <v>122</v>
      </c>
      <c r="S279" s="1847" t="s">
        <v>131</v>
      </c>
      <c r="T279" s="2652" t="s">
        <v>2435</v>
      </c>
      <c r="U279" s="1425">
        <v>1</v>
      </c>
      <c r="V279" s="1892">
        <v>35209</v>
      </c>
      <c r="W279" s="1306" t="s">
        <v>71</v>
      </c>
      <c r="X279" s="4325" t="s">
        <v>691</v>
      </c>
      <c r="Y279" s="857">
        <f t="shared" ca="1" si="15"/>
        <v>21.572222222222223</v>
      </c>
      <c r="Z279" s="79"/>
    </row>
    <row r="280" spans="1:26" ht="14.1" customHeight="1" x14ac:dyDescent="0.2">
      <c r="A280" s="79">
        <v>268</v>
      </c>
      <c r="B280" s="844" t="s">
        <v>1685</v>
      </c>
      <c r="C280" s="3806" t="s">
        <v>1771</v>
      </c>
      <c r="D280" s="1417"/>
      <c r="E280" s="1998" t="s">
        <v>2130</v>
      </c>
      <c r="F280" s="3782">
        <f t="shared" si="16"/>
        <v>144.33682682995911</v>
      </c>
      <c r="G280" s="1493">
        <f>82.03+110.27+77.35+209.39+81.81+73.4+120.49+139.87+259.91</f>
        <v>1154.52</v>
      </c>
      <c r="H280" s="1411"/>
      <c r="I280" s="947">
        <v>120314808</v>
      </c>
      <c r="J280" s="936">
        <v>502360006</v>
      </c>
      <c r="K280" s="936">
        <v>533394170</v>
      </c>
      <c r="L280" s="936">
        <v>341607563</v>
      </c>
      <c r="M280" s="936">
        <v>589755144</v>
      </c>
      <c r="N280" s="936">
        <v>489221064</v>
      </c>
      <c r="O280" s="846">
        <v>441435704</v>
      </c>
      <c r="P280" s="936">
        <v>45771037</v>
      </c>
      <c r="Q280" s="1694">
        <v>244531130</v>
      </c>
      <c r="R280" s="1352" t="s">
        <v>1770</v>
      </c>
      <c r="S280" s="2713" t="s">
        <v>62</v>
      </c>
      <c r="T280" s="2660" t="s">
        <v>2435</v>
      </c>
      <c r="U280" s="1421">
        <v>1</v>
      </c>
      <c r="V280" s="1353">
        <v>41964</v>
      </c>
      <c r="W280" s="1354" t="s">
        <v>76</v>
      </c>
      <c r="X280" s="4314" t="s">
        <v>1772</v>
      </c>
      <c r="Y280" s="852">
        <f t="shared" ca="1" si="15"/>
        <v>3.0805555555555557</v>
      </c>
      <c r="Z280" s="79">
        <v>268</v>
      </c>
    </row>
    <row r="281" spans="1:26" ht="14.1" customHeight="1" x14ac:dyDescent="0.2">
      <c r="A281" s="79"/>
      <c r="B281" s="901" t="s">
        <v>1685</v>
      </c>
      <c r="C281" s="1230" t="s">
        <v>1240</v>
      </c>
      <c r="D281" s="1269" t="s">
        <v>40</v>
      </c>
      <c r="E281" s="1999" t="s">
        <v>2130</v>
      </c>
      <c r="F281" s="3782">
        <f t="shared" si="16"/>
        <v>144.71324219652803</v>
      </c>
      <c r="G281" s="965"/>
      <c r="H281" s="948"/>
      <c r="I281" s="944">
        <v>117407689</v>
      </c>
      <c r="J281" s="808">
        <v>561407507</v>
      </c>
      <c r="K281" s="808">
        <v>501340307</v>
      </c>
      <c r="L281" s="808">
        <v>357220687</v>
      </c>
      <c r="M281" s="808">
        <v>583061343</v>
      </c>
      <c r="N281" s="808">
        <v>485907980</v>
      </c>
      <c r="O281" s="781">
        <v>389356487</v>
      </c>
      <c r="P281" s="808">
        <v>44425656</v>
      </c>
      <c r="Q281" s="808">
        <v>275454598</v>
      </c>
      <c r="R281" s="903" t="s">
        <v>96</v>
      </c>
      <c r="S281" s="904" t="s">
        <v>66</v>
      </c>
      <c r="T281" s="2658" t="s">
        <v>2435</v>
      </c>
      <c r="U281" s="905">
        <v>1</v>
      </c>
      <c r="V281" s="906">
        <v>38733</v>
      </c>
      <c r="W281" s="907" t="s">
        <v>71</v>
      </c>
      <c r="X281" s="4302" t="s">
        <v>97</v>
      </c>
      <c r="Y281" s="857">
        <f t="shared" ca="1" si="15"/>
        <v>11.927777777777777</v>
      </c>
      <c r="Z281" s="79"/>
    </row>
    <row r="282" spans="1:26" ht="14.1" customHeight="1" x14ac:dyDescent="0.25">
      <c r="A282" s="79">
        <v>270</v>
      </c>
      <c r="B282" s="915" t="s">
        <v>1103</v>
      </c>
      <c r="C282" s="1231" t="s">
        <v>267</v>
      </c>
      <c r="D282" s="1949"/>
      <c r="E282" s="2002"/>
      <c r="F282" s="3782">
        <f t="shared" si="16"/>
        <v>145.11585358652289</v>
      </c>
      <c r="G282" s="942"/>
      <c r="H282" s="943"/>
      <c r="I282" s="940">
        <v>124668530</v>
      </c>
      <c r="J282" s="781">
        <v>553933155</v>
      </c>
      <c r="K282" s="781">
        <v>496902041</v>
      </c>
      <c r="L282" s="781">
        <v>338101671</v>
      </c>
      <c r="M282" s="781">
        <v>593259574</v>
      </c>
      <c r="N282" s="781">
        <v>488616423</v>
      </c>
      <c r="O282" s="781">
        <v>353509986</v>
      </c>
      <c r="P282" s="781">
        <v>55524899</v>
      </c>
      <c r="Q282" s="781">
        <v>244341547</v>
      </c>
      <c r="R282" s="877" t="s">
        <v>268</v>
      </c>
      <c r="S282" s="878" t="s">
        <v>66</v>
      </c>
      <c r="T282" s="2644" t="s">
        <v>2435</v>
      </c>
      <c r="U282" s="879">
        <v>1</v>
      </c>
      <c r="V282" s="880">
        <v>35876</v>
      </c>
      <c r="W282" s="881" t="s">
        <v>230</v>
      </c>
      <c r="X282" s="4285" t="s">
        <v>148</v>
      </c>
      <c r="Y282" s="852">
        <f t="shared" ca="1" si="15"/>
        <v>19.744444444444444</v>
      </c>
      <c r="Z282" s="79">
        <v>270</v>
      </c>
    </row>
    <row r="283" spans="1:26" ht="14.1" customHeight="1" x14ac:dyDescent="0.25">
      <c r="A283" s="79"/>
      <c r="B283" s="2270" t="s">
        <v>1685</v>
      </c>
      <c r="C283" s="1859" t="s">
        <v>1572</v>
      </c>
      <c r="D283" s="3986"/>
      <c r="E283" s="1999" t="s">
        <v>2130</v>
      </c>
      <c r="F283" s="3782">
        <f t="shared" si="16"/>
        <v>145.15150513749779</v>
      </c>
      <c r="G283" s="937"/>
      <c r="H283" s="3263"/>
      <c r="I283" s="853">
        <v>117395622</v>
      </c>
      <c r="J283" s="939">
        <v>586439972</v>
      </c>
      <c r="K283" s="843">
        <v>519851911</v>
      </c>
      <c r="L283" s="843">
        <v>336169272</v>
      </c>
      <c r="M283" s="843">
        <v>602562869</v>
      </c>
      <c r="N283" s="843">
        <v>491848379</v>
      </c>
      <c r="O283" s="843">
        <v>368058188</v>
      </c>
      <c r="P283" s="843">
        <v>53793381</v>
      </c>
      <c r="Q283" s="843">
        <v>236441474</v>
      </c>
      <c r="R283" s="854" t="s">
        <v>1573</v>
      </c>
      <c r="S283" s="2105" t="s">
        <v>66</v>
      </c>
      <c r="T283" s="3231" t="s">
        <v>2435</v>
      </c>
      <c r="U283" s="4162">
        <v>2</v>
      </c>
      <c r="V283" s="855">
        <v>41646</v>
      </c>
      <c r="W283" s="856" t="s">
        <v>76</v>
      </c>
      <c r="X283" s="4315" t="s">
        <v>246</v>
      </c>
      <c r="Y283" s="857">
        <f t="shared" ca="1" si="15"/>
        <v>3.9527777777777779</v>
      </c>
      <c r="Z283" s="79"/>
    </row>
    <row r="284" spans="1:26" ht="14.1" customHeight="1" x14ac:dyDescent="0.2">
      <c r="A284" s="79">
        <v>272</v>
      </c>
      <c r="B284" s="1513" t="s">
        <v>1685</v>
      </c>
      <c r="C284" s="2362" t="s">
        <v>235</v>
      </c>
      <c r="D284" s="1417" t="s">
        <v>40</v>
      </c>
      <c r="E284" s="1998" t="s">
        <v>2130</v>
      </c>
      <c r="F284" s="3782">
        <f t="shared" si="16"/>
        <v>145.16190599381181</v>
      </c>
      <c r="G284" s="2325"/>
      <c r="H284" s="2326"/>
      <c r="I284" s="947">
        <v>118391903</v>
      </c>
      <c r="J284" s="936">
        <v>587978055</v>
      </c>
      <c r="K284" s="936">
        <v>517290664</v>
      </c>
      <c r="L284" s="936">
        <v>339000669</v>
      </c>
      <c r="M284" s="936">
        <v>600546394</v>
      </c>
      <c r="N284" s="936">
        <v>496868856</v>
      </c>
      <c r="O284" s="846">
        <v>415401524</v>
      </c>
      <c r="P284" s="936">
        <v>43696731</v>
      </c>
      <c r="Q284" s="936">
        <v>253438399</v>
      </c>
      <c r="R284" s="2329" t="s">
        <v>236</v>
      </c>
      <c r="S284" s="2332" t="s">
        <v>66</v>
      </c>
      <c r="T284" s="3272" t="s">
        <v>2435</v>
      </c>
      <c r="U284" s="2334">
        <v>1</v>
      </c>
      <c r="V284" s="3893">
        <v>38504</v>
      </c>
      <c r="W284" s="2338" t="s">
        <v>106</v>
      </c>
      <c r="X284" s="4312" t="s">
        <v>237</v>
      </c>
      <c r="Y284" s="852">
        <f t="shared" ca="1" si="15"/>
        <v>12.552777777777777</v>
      </c>
      <c r="Z284" s="79">
        <v>272</v>
      </c>
    </row>
    <row r="285" spans="1:26" ht="14.1" customHeight="1" x14ac:dyDescent="0.2">
      <c r="A285" s="79"/>
      <c r="B285" s="908" t="s">
        <v>1685</v>
      </c>
      <c r="C285" s="1225" t="s">
        <v>262</v>
      </c>
      <c r="D285" s="1269" t="s">
        <v>40</v>
      </c>
      <c r="E285" s="1999" t="s">
        <v>2130</v>
      </c>
      <c r="F285" s="3782">
        <f t="shared" si="16"/>
        <v>145.29739952337474</v>
      </c>
      <c r="G285" s="942"/>
      <c r="H285" s="943"/>
      <c r="I285" s="944">
        <v>130968096</v>
      </c>
      <c r="J285" s="781">
        <v>551120705</v>
      </c>
      <c r="K285" s="781">
        <v>495796654</v>
      </c>
      <c r="L285" s="781">
        <f>174487552*2</f>
        <v>348975104</v>
      </c>
      <c r="M285" s="781">
        <v>614465598</v>
      </c>
      <c r="N285" s="781">
        <v>500612752</v>
      </c>
      <c r="O285" s="781">
        <v>349022585</v>
      </c>
      <c r="P285" s="781">
        <v>52523642</v>
      </c>
      <c r="Q285" s="808">
        <v>235718663</v>
      </c>
      <c r="R285" s="877" t="s">
        <v>263</v>
      </c>
      <c r="S285" s="878" t="s">
        <v>66</v>
      </c>
      <c r="T285" s="2640" t="s">
        <v>2435</v>
      </c>
      <c r="U285" s="879">
        <v>1</v>
      </c>
      <c r="V285" s="880">
        <v>36659</v>
      </c>
      <c r="W285" s="881" t="s">
        <v>76</v>
      </c>
      <c r="X285" s="4285" t="s">
        <v>264</v>
      </c>
      <c r="Y285" s="857">
        <f t="shared" ca="1" si="15"/>
        <v>17.602777777777778</v>
      </c>
      <c r="Z285" s="79"/>
    </row>
    <row r="286" spans="1:26" ht="14.1" customHeight="1" x14ac:dyDescent="0.2">
      <c r="A286" s="79">
        <v>274</v>
      </c>
      <c r="B286" s="908" t="s">
        <v>1685</v>
      </c>
      <c r="C286" s="1231" t="s">
        <v>1678</v>
      </c>
      <c r="D286" s="1269" t="s">
        <v>40</v>
      </c>
      <c r="E286" s="1998" t="s">
        <v>2130</v>
      </c>
      <c r="F286" s="3782">
        <f t="shared" si="16"/>
        <v>145.37414775752978</v>
      </c>
      <c r="G286" s="942"/>
      <c r="H286" s="943"/>
      <c r="I286" s="940">
        <v>127354058</v>
      </c>
      <c r="J286" s="808">
        <v>563285040</v>
      </c>
      <c r="K286" s="808">
        <v>503591684</v>
      </c>
      <c r="L286" s="808">
        <v>335791159</v>
      </c>
      <c r="M286" s="808">
        <v>587865519</v>
      </c>
      <c r="N286" s="808">
        <v>485890400</v>
      </c>
      <c r="O286" s="781">
        <v>391552435</v>
      </c>
      <c r="P286" s="808">
        <v>48644444</v>
      </c>
      <c r="Q286" s="808">
        <v>251087995</v>
      </c>
      <c r="R286" s="877" t="s">
        <v>227</v>
      </c>
      <c r="S286" s="878" t="s">
        <v>66</v>
      </c>
      <c r="T286" s="2640" t="s">
        <v>2435</v>
      </c>
      <c r="U286" s="879">
        <v>1</v>
      </c>
      <c r="V286" s="2335">
        <v>39382</v>
      </c>
      <c r="W286" s="881" t="s">
        <v>2208</v>
      </c>
      <c r="X286" s="4285" t="s">
        <v>645</v>
      </c>
      <c r="Y286" s="852">
        <f t="shared" ca="1" si="15"/>
        <v>10.147222222222222</v>
      </c>
      <c r="Z286" s="79">
        <v>274</v>
      </c>
    </row>
    <row r="287" spans="1:26" ht="14.1" customHeight="1" x14ac:dyDescent="0.2">
      <c r="A287" s="79"/>
      <c r="B287" s="2270" t="s">
        <v>1685</v>
      </c>
      <c r="C287" s="1859" t="s">
        <v>2182</v>
      </c>
      <c r="D287" s="1948" t="s">
        <v>40</v>
      </c>
      <c r="E287" s="1999" t="s">
        <v>2130</v>
      </c>
      <c r="F287" s="3782">
        <f t="shared" si="16"/>
        <v>145.41984644820971</v>
      </c>
      <c r="G287" s="1506">
        <f>93.4+445.6+402+341.8+492.6+392.6+364.8+46.7+300.5</f>
        <v>2880</v>
      </c>
      <c r="H287" s="1304"/>
      <c r="I287" s="941">
        <v>120772397</v>
      </c>
      <c r="J287" s="939">
        <v>548149353</v>
      </c>
      <c r="K287" s="939">
        <v>521499968</v>
      </c>
      <c r="L287" s="939">
        <v>352140041</v>
      </c>
      <c r="M287" s="939">
        <v>593539560</v>
      </c>
      <c r="N287" s="939">
        <v>496310016</v>
      </c>
      <c r="O287" s="843">
        <v>366287753</v>
      </c>
      <c r="P287" s="939">
        <v>48000004</v>
      </c>
      <c r="Q287" s="1516">
        <v>254195482</v>
      </c>
      <c r="R287" s="1305" t="s">
        <v>2180</v>
      </c>
      <c r="S287" s="3868" t="s">
        <v>66</v>
      </c>
      <c r="T287" s="2652" t="s">
        <v>2435</v>
      </c>
      <c r="U287" s="1425">
        <v>1</v>
      </c>
      <c r="V287" s="1892">
        <v>42041</v>
      </c>
      <c r="W287" s="1306" t="s">
        <v>76</v>
      </c>
      <c r="X287" s="4325" t="s">
        <v>2181</v>
      </c>
      <c r="Y287" s="857">
        <f t="shared" ca="1" si="15"/>
        <v>2.8722222222222222</v>
      </c>
      <c r="Z287" s="79"/>
    </row>
    <row r="288" spans="1:26" ht="14.1" customHeight="1" x14ac:dyDescent="0.2">
      <c r="A288" s="79">
        <v>276</v>
      </c>
      <c r="B288" s="1512" t="s">
        <v>1685</v>
      </c>
      <c r="C288" s="1508" t="s">
        <v>2234</v>
      </c>
      <c r="D288" s="1417"/>
      <c r="E288" s="2002" t="s">
        <v>2130</v>
      </c>
      <c r="F288" s="3782">
        <f t="shared" si="16"/>
        <v>145.42079135340998</v>
      </c>
      <c r="G288" s="1493">
        <f>34.19+148.98+132.73+89.89+201.23+178.51+121.19+16.02+70.68</f>
        <v>993.42000000000007</v>
      </c>
      <c r="H288" s="1411"/>
      <c r="I288" s="936">
        <v>120909191</v>
      </c>
      <c r="J288" s="936">
        <v>564328269</v>
      </c>
      <c r="K288" s="936">
        <v>501885192</v>
      </c>
      <c r="L288" s="936">
        <v>355996683</v>
      </c>
      <c r="M288" s="936">
        <v>587532367</v>
      </c>
      <c r="N288" s="936">
        <v>486028656</v>
      </c>
      <c r="O288" s="846">
        <v>391151857</v>
      </c>
      <c r="P288" s="936">
        <v>44760097</v>
      </c>
      <c r="Q288" s="1694">
        <v>267569552</v>
      </c>
      <c r="R288" s="1352" t="s">
        <v>2235</v>
      </c>
      <c r="S288" s="2331" t="s">
        <v>66</v>
      </c>
      <c r="T288" s="2660" t="s">
        <v>2435</v>
      </c>
      <c r="U288" s="1421">
        <v>1</v>
      </c>
      <c r="V288" s="1353">
        <v>42729</v>
      </c>
      <c r="W288" s="1354" t="s">
        <v>71</v>
      </c>
      <c r="X288" s="4314" t="s">
        <v>125</v>
      </c>
      <c r="Y288" s="852">
        <f t="shared" ca="1" si="15"/>
        <v>0.98611111111111116</v>
      </c>
      <c r="Z288" s="79">
        <v>276</v>
      </c>
    </row>
    <row r="289" spans="1:26" ht="14.1" customHeight="1" x14ac:dyDescent="0.2">
      <c r="A289" s="79"/>
      <c r="B289" s="908" t="s">
        <v>1685</v>
      </c>
      <c r="C289" s="2149" t="s">
        <v>2400</v>
      </c>
      <c r="D289" s="1269"/>
      <c r="E289" s="1999"/>
      <c r="F289" s="3782">
        <f t="shared" si="16"/>
        <v>145.57418799567532</v>
      </c>
      <c r="G289" s="1506">
        <f>65.7+50.4+67.9+239.2+57.3+53.6+146.1+163.9+359.4</f>
        <v>1203.5</v>
      </c>
      <c r="H289" s="943"/>
      <c r="I289" s="944">
        <v>121229730</v>
      </c>
      <c r="J289" s="808">
        <v>573710548</v>
      </c>
      <c r="K289" s="808">
        <v>531532430</v>
      </c>
      <c r="L289" s="808">
        <v>334625934</v>
      </c>
      <c r="M289" s="808">
        <v>588405189</v>
      </c>
      <c r="N289" s="808">
        <v>488186676</v>
      </c>
      <c r="O289" s="781">
        <v>439732244</v>
      </c>
      <c r="P289" s="808">
        <v>41943040</v>
      </c>
      <c r="Q289" s="808">
        <v>251816403</v>
      </c>
      <c r="R289" s="877" t="s">
        <v>1580</v>
      </c>
      <c r="S289" s="2703" t="s">
        <v>62</v>
      </c>
      <c r="T289" s="2644" t="s">
        <v>2435</v>
      </c>
      <c r="U289" s="879">
        <v>1</v>
      </c>
      <c r="V289" s="880">
        <v>41759</v>
      </c>
      <c r="W289" s="881" t="s">
        <v>76</v>
      </c>
      <c r="X289" s="4285" t="s">
        <v>1402</v>
      </c>
      <c r="Y289" s="857">
        <f t="shared" ca="1" si="15"/>
        <v>3.6388888888888888</v>
      </c>
      <c r="Z289" s="79"/>
    </row>
    <row r="290" spans="1:26" ht="14.1" customHeight="1" x14ac:dyDescent="0.25">
      <c r="A290" s="79">
        <v>278</v>
      </c>
      <c r="B290" s="915" t="s">
        <v>1103</v>
      </c>
      <c r="C290" s="2745" t="s">
        <v>228</v>
      </c>
      <c r="D290" s="1952"/>
      <c r="E290" s="2002"/>
      <c r="F290" s="3782">
        <f t="shared" si="16"/>
        <v>146.74506576109187</v>
      </c>
      <c r="G290" s="942"/>
      <c r="H290" s="943"/>
      <c r="I290" s="944">
        <v>132287538</v>
      </c>
      <c r="J290" s="808">
        <v>553933463</v>
      </c>
      <c r="K290" s="808">
        <v>496902785</v>
      </c>
      <c r="L290" s="808">
        <v>340087849</v>
      </c>
      <c r="M290" s="808">
        <v>593250754</v>
      </c>
      <c r="N290" s="808">
        <v>488553083</v>
      </c>
      <c r="O290" s="781">
        <v>353496309</v>
      </c>
      <c r="P290" s="808">
        <v>56374428</v>
      </c>
      <c r="Q290" s="808">
        <v>244342021</v>
      </c>
      <c r="R290" s="877" t="s">
        <v>229</v>
      </c>
      <c r="S290" s="878" t="s">
        <v>66</v>
      </c>
      <c r="T290" s="2640" t="s">
        <v>2435</v>
      </c>
      <c r="U290" s="879">
        <v>1</v>
      </c>
      <c r="V290" s="880">
        <v>36919</v>
      </c>
      <c r="W290" s="881" t="s">
        <v>230</v>
      </c>
      <c r="X290" s="4285" t="s">
        <v>1401</v>
      </c>
      <c r="Y290" s="852">
        <f t="shared" ca="1" si="15"/>
        <v>16.894444444444446</v>
      </c>
      <c r="Z290" s="79">
        <v>278</v>
      </c>
    </row>
    <row r="291" spans="1:26" ht="14.1" customHeight="1" x14ac:dyDescent="0.2">
      <c r="A291" s="79"/>
      <c r="B291" s="2270" t="s">
        <v>1685</v>
      </c>
      <c r="C291" s="3592" t="s">
        <v>269</v>
      </c>
      <c r="D291" s="1948" t="s">
        <v>40</v>
      </c>
      <c r="E291" s="1999" t="s">
        <v>2130</v>
      </c>
      <c r="F291" s="3782">
        <f t="shared" si="16"/>
        <v>147.05552230850367</v>
      </c>
      <c r="G291" s="2101"/>
      <c r="H291" s="1304"/>
      <c r="I291" s="853">
        <v>129368574</v>
      </c>
      <c r="J291" s="843">
        <v>557653925</v>
      </c>
      <c r="K291" s="843">
        <v>513712905</v>
      </c>
      <c r="L291" s="843">
        <v>364007516</v>
      </c>
      <c r="M291" s="843">
        <v>638666005</v>
      </c>
      <c r="N291" s="843">
        <v>496693761</v>
      </c>
      <c r="O291" s="843">
        <v>368901521</v>
      </c>
      <c r="P291" s="843">
        <v>56520435</v>
      </c>
      <c r="Q291" s="843">
        <v>210125221</v>
      </c>
      <c r="R291" s="1305" t="s">
        <v>155</v>
      </c>
      <c r="S291" s="1847" t="s">
        <v>66</v>
      </c>
      <c r="T291" s="2661" t="s">
        <v>2435</v>
      </c>
      <c r="U291" s="1425">
        <v>1</v>
      </c>
      <c r="V291" s="1892">
        <v>39208</v>
      </c>
      <c r="W291" s="1306" t="s">
        <v>156</v>
      </c>
      <c r="X291" s="4325" t="s">
        <v>157</v>
      </c>
      <c r="Y291" s="857">
        <f t="shared" ca="1" si="15"/>
        <v>10.622222222222222</v>
      </c>
      <c r="Z291" s="79"/>
    </row>
    <row r="292" spans="1:26" ht="14.1" customHeight="1" x14ac:dyDescent="0.25">
      <c r="A292" s="79">
        <v>280</v>
      </c>
      <c r="B292" s="1537" t="s">
        <v>1103</v>
      </c>
      <c r="C292" s="1508" t="s">
        <v>1427</v>
      </c>
      <c r="D292" s="2483"/>
      <c r="E292" s="2002"/>
      <c r="F292" s="3782">
        <f t="shared" si="16"/>
        <v>147.83649355237995</v>
      </c>
      <c r="G292" s="1493">
        <f>76+122+107+106+124+67+71+138+110</f>
        <v>921</v>
      </c>
      <c r="H292" s="1411"/>
      <c r="I292" s="845">
        <v>133681069</v>
      </c>
      <c r="J292" s="846">
        <v>553936207</v>
      </c>
      <c r="K292" s="846">
        <v>496905314</v>
      </c>
      <c r="L292" s="846">
        <v>340402679</v>
      </c>
      <c r="M292" s="846">
        <v>593253551</v>
      </c>
      <c r="N292" s="846">
        <v>488560067</v>
      </c>
      <c r="O292" s="846">
        <v>353509327</v>
      </c>
      <c r="P292" s="846">
        <v>57700074</v>
      </c>
      <c r="Q292" s="846">
        <v>244341849</v>
      </c>
      <c r="R292" s="1352" t="s">
        <v>510</v>
      </c>
      <c r="S292" s="1670" t="s">
        <v>66</v>
      </c>
      <c r="T292" s="4128" t="s">
        <v>2436</v>
      </c>
      <c r="U292" s="1421">
        <v>1</v>
      </c>
      <c r="V292" s="1353">
        <v>40901</v>
      </c>
      <c r="W292" s="1354" t="s">
        <v>76</v>
      </c>
      <c r="X292" s="4314" t="s">
        <v>1512</v>
      </c>
      <c r="Y292" s="852">
        <f t="shared" ca="1" si="15"/>
        <v>5.9888888888888889</v>
      </c>
      <c r="Z292" s="79">
        <v>280</v>
      </c>
    </row>
    <row r="293" spans="1:26" ht="14.1" customHeight="1" x14ac:dyDescent="0.2">
      <c r="A293" s="79"/>
      <c r="B293" s="908" t="s">
        <v>1685</v>
      </c>
      <c r="C293" s="1225" t="s">
        <v>1241</v>
      </c>
      <c r="D293" s="1269" t="s">
        <v>40</v>
      </c>
      <c r="E293" s="1999" t="s">
        <v>2130</v>
      </c>
      <c r="F293" s="3782">
        <f t="shared" si="16"/>
        <v>148.17884781234579</v>
      </c>
      <c r="G293" s="942"/>
      <c r="H293" s="943"/>
      <c r="I293" s="940">
        <v>121724441</v>
      </c>
      <c r="J293" s="808">
        <v>580882611</v>
      </c>
      <c r="K293" s="808">
        <v>514216038</v>
      </c>
      <c r="L293" s="808">
        <v>362877902</v>
      </c>
      <c r="M293" s="808">
        <v>606266486</v>
      </c>
      <c r="N293" s="808">
        <v>502969317</v>
      </c>
      <c r="O293" s="781">
        <v>392064549</v>
      </c>
      <c r="P293" s="808">
        <v>45641300</v>
      </c>
      <c r="Q293" s="808">
        <v>276124207</v>
      </c>
      <c r="R293" s="877" t="s">
        <v>266</v>
      </c>
      <c r="S293" s="878" t="s">
        <v>66</v>
      </c>
      <c r="T293" s="2640" t="s">
        <v>2435</v>
      </c>
      <c r="U293" s="879">
        <v>1</v>
      </c>
      <c r="V293" s="2335">
        <v>38672</v>
      </c>
      <c r="W293" s="881" t="s">
        <v>71</v>
      </c>
      <c r="X293" s="4285" t="s">
        <v>244</v>
      </c>
      <c r="Y293" s="857">
        <f t="shared" ca="1" si="15"/>
        <v>12.094444444444445</v>
      </c>
      <c r="Z293" s="79"/>
    </row>
    <row r="294" spans="1:26" ht="14.1" customHeight="1" x14ac:dyDescent="0.2">
      <c r="A294" s="79">
        <v>282</v>
      </c>
      <c r="B294" s="1512" t="s">
        <v>1685</v>
      </c>
      <c r="C294" s="1225" t="s">
        <v>2200</v>
      </c>
      <c r="D294" s="1417" t="s">
        <v>40</v>
      </c>
      <c r="E294" s="1998" t="s">
        <v>2130</v>
      </c>
      <c r="F294" s="3782">
        <f t="shared" si="16"/>
        <v>148.61706284446848</v>
      </c>
      <c r="G294" s="974">
        <f>125.8+565.1+479.5+392.1+716.6+655.7+257.5+62+330.8</f>
        <v>3585.1000000000004</v>
      </c>
      <c r="H294" s="917"/>
      <c r="I294" s="836">
        <v>123934141</v>
      </c>
      <c r="J294" s="837">
        <v>626605219</v>
      </c>
      <c r="K294" s="837">
        <v>576460563</v>
      </c>
      <c r="L294" s="837">
        <v>347198949</v>
      </c>
      <c r="M294" s="837">
        <v>651788479</v>
      </c>
      <c r="N294" s="837">
        <v>546090598</v>
      </c>
      <c r="O294" s="780">
        <v>397375213</v>
      </c>
      <c r="P294" s="837">
        <v>43847482</v>
      </c>
      <c r="Q294" s="1797">
        <v>206770781</v>
      </c>
      <c r="R294" s="918" t="s">
        <v>2172</v>
      </c>
      <c r="S294" s="1888" t="s">
        <v>66</v>
      </c>
      <c r="T294" s="2644" t="s">
        <v>2435</v>
      </c>
      <c r="U294" s="956">
        <v>1</v>
      </c>
      <c r="V294" s="920">
        <v>41732</v>
      </c>
      <c r="W294" s="921" t="s">
        <v>121</v>
      </c>
      <c r="X294" s="4309" t="s">
        <v>2173</v>
      </c>
      <c r="Y294" s="113">
        <f t="shared" ca="1" si="15"/>
        <v>3.713888888888889</v>
      </c>
      <c r="Z294" s="79">
        <v>282</v>
      </c>
    </row>
    <row r="295" spans="1:26" ht="14.1" customHeight="1" x14ac:dyDescent="0.2">
      <c r="A295" s="79"/>
      <c r="B295" s="98" t="s">
        <v>1685</v>
      </c>
      <c r="C295" s="1221" t="s">
        <v>1280</v>
      </c>
      <c r="D295" s="1948" t="s">
        <v>40</v>
      </c>
      <c r="E295" s="1999" t="s">
        <v>2130</v>
      </c>
      <c r="F295" s="3782">
        <f t="shared" si="16"/>
        <v>148.95254027733233</v>
      </c>
      <c r="G295" s="115"/>
      <c r="H295" s="115"/>
      <c r="I295" s="882">
        <v>109625008</v>
      </c>
      <c r="J295" s="883">
        <v>526797146</v>
      </c>
      <c r="K295" s="883">
        <v>529540160</v>
      </c>
      <c r="L295" s="883">
        <v>368273238</v>
      </c>
      <c r="M295" s="883">
        <v>587074180</v>
      </c>
      <c r="N295" s="883">
        <v>489916795</v>
      </c>
      <c r="O295" s="883">
        <v>441775430</v>
      </c>
      <c r="P295" s="883">
        <v>47566239</v>
      </c>
      <c r="Q295" s="883">
        <v>300115499</v>
      </c>
      <c r="R295" s="884" t="s">
        <v>165</v>
      </c>
      <c r="S295" s="116" t="s">
        <v>66</v>
      </c>
      <c r="T295" s="2641" t="s">
        <v>2435</v>
      </c>
      <c r="U295" s="117">
        <v>1</v>
      </c>
      <c r="V295" s="885">
        <v>39540</v>
      </c>
      <c r="W295" s="118" t="s">
        <v>2215</v>
      </c>
      <c r="X295" s="4294" t="s">
        <v>97</v>
      </c>
      <c r="Y295" s="119">
        <f t="shared" ca="1" si="15"/>
        <v>9.7166666666666668</v>
      </c>
      <c r="Z295" s="79"/>
    </row>
    <row r="296" spans="1:26" ht="14.1" customHeight="1" x14ac:dyDescent="0.2">
      <c r="A296" s="79">
        <v>284</v>
      </c>
      <c r="B296" s="103" t="s">
        <v>1685</v>
      </c>
      <c r="C296" s="2926" t="s">
        <v>273</v>
      </c>
      <c r="D296" s="1273" t="s">
        <v>40</v>
      </c>
      <c r="E296" s="1998" t="s">
        <v>2130</v>
      </c>
      <c r="F296" s="3782">
        <f t="shared" si="16"/>
        <v>149.10934428803517</v>
      </c>
      <c r="G296" s="967"/>
      <c r="H296" s="967"/>
      <c r="I296" s="822">
        <v>132986742</v>
      </c>
      <c r="J296" s="886">
        <v>563062912</v>
      </c>
      <c r="K296" s="886">
        <v>503544407</v>
      </c>
      <c r="L296" s="886">
        <v>349567461</v>
      </c>
      <c r="M296" s="886">
        <v>591840817</v>
      </c>
      <c r="N296" s="886">
        <v>486132392</v>
      </c>
      <c r="O296" s="886">
        <v>389931824</v>
      </c>
      <c r="P296" s="886">
        <v>50752127</v>
      </c>
      <c r="Q296" s="886">
        <v>269646169</v>
      </c>
      <c r="R296" s="121" t="s">
        <v>274</v>
      </c>
      <c r="S296" s="120" t="s">
        <v>66</v>
      </c>
      <c r="T296" s="2639" t="s">
        <v>2435</v>
      </c>
      <c r="U296" s="122">
        <v>1</v>
      </c>
      <c r="V296" s="3892">
        <v>39448</v>
      </c>
      <c r="W296" s="124" t="s">
        <v>156</v>
      </c>
      <c r="X296" s="4308" t="s">
        <v>275</v>
      </c>
      <c r="Y296" s="104">
        <f t="shared" ca="1" si="15"/>
        <v>9.969444444444445</v>
      </c>
      <c r="Z296" s="79">
        <v>284</v>
      </c>
    </row>
    <row r="297" spans="1:26" ht="14.1" customHeight="1" x14ac:dyDescent="0.25">
      <c r="A297" s="79"/>
      <c r="B297" s="908" t="s">
        <v>1685</v>
      </c>
      <c r="C297" s="1231" t="s">
        <v>1242</v>
      </c>
      <c r="D297" s="1951"/>
      <c r="E297" s="2005" t="s">
        <v>2130</v>
      </c>
      <c r="F297" s="3782">
        <f t="shared" si="16"/>
        <v>149.33885421253689</v>
      </c>
      <c r="G297" s="942"/>
      <c r="H297" s="943"/>
      <c r="I297" s="940">
        <v>123205230</v>
      </c>
      <c r="J297" s="781">
        <v>564307315</v>
      </c>
      <c r="K297" s="781">
        <v>499786180</v>
      </c>
      <c r="L297" s="781">
        <v>361191488</v>
      </c>
      <c r="M297" s="781">
        <v>592539694</v>
      </c>
      <c r="N297" s="781">
        <v>490983136</v>
      </c>
      <c r="O297" s="781">
        <v>371594131</v>
      </c>
      <c r="P297" s="781">
        <v>52384907</v>
      </c>
      <c r="Q297" s="781">
        <v>287835697</v>
      </c>
      <c r="R297" s="877" t="s">
        <v>245</v>
      </c>
      <c r="S297" s="878" t="s">
        <v>66</v>
      </c>
      <c r="T297" s="2644" t="s">
        <v>2435</v>
      </c>
      <c r="U297" s="879">
        <v>1</v>
      </c>
      <c r="V297" s="880">
        <v>39617</v>
      </c>
      <c r="W297" s="881" t="s">
        <v>71</v>
      </c>
      <c r="X297" s="4285" t="s">
        <v>246</v>
      </c>
      <c r="Y297" s="2512">
        <f t="shared" ca="1" si="15"/>
        <v>9.5055555555555564</v>
      </c>
      <c r="Z297" s="79"/>
    </row>
    <row r="298" spans="1:26" ht="14.1" customHeight="1" x14ac:dyDescent="0.25">
      <c r="A298" s="79">
        <v>286</v>
      </c>
      <c r="B298" s="844" t="s">
        <v>1685</v>
      </c>
      <c r="C298" s="3811" t="s">
        <v>1426</v>
      </c>
      <c r="D298" s="1693"/>
      <c r="E298" s="1998" t="s">
        <v>2130</v>
      </c>
      <c r="F298" s="3782">
        <f t="shared" si="16"/>
        <v>149.55515369240501</v>
      </c>
      <c r="G298" s="2601"/>
      <c r="H298" s="946"/>
      <c r="I298" s="947">
        <v>128641104</v>
      </c>
      <c r="J298" s="936">
        <v>561118105</v>
      </c>
      <c r="K298" s="936">
        <v>499721298</v>
      </c>
      <c r="L298" s="936">
        <v>353851100</v>
      </c>
      <c r="M298" s="936">
        <v>593412205</v>
      </c>
      <c r="N298" s="936">
        <v>487195849</v>
      </c>
      <c r="O298" s="846">
        <v>390370758</v>
      </c>
      <c r="P298" s="936">
        <v>50356677</v>
      </c>
      <c r="Q298" s="936">
        <v>284875451</v>
      </c>
      <c r="R298" s="847" t="s">
        <v>212</v>
      </c>
      <c r="S298" s="848" t="s">
        <v>66</v>
      </c>
      <c r="T298" s="2651" t="s">
        <v>2435</v>
      </c>
      <c r="U298" s="849">
        <v>1</v>
      </c>
      <c r="V298" s="850">
        <v>39719</v>
      </c>
      <c r="W298" s="851" t="s">
        <v>174</v>
      </c>
      <c r="X298" s="4313" t="s">
        <v>97</v>
      </c>
      <c r="Y298" s="2522">
        <f t="shared" ca="1" si="15"/>
        <v>9.2277777777777779</v>
      </c>
      <c r="Z298" s="79">
        <v>286</v>
      </c>
    </row>
    <row r="299" spans="1:26" ht="14.1" customHeight="1" x14ac:dyDescent="0.25">
      <c r="A299" s="79"/>
      <c r="B299" s="98" t="s">
        <v>1685</v>
      </c>
      <c r="C299" s="1230" t="s">
        <v>270</v>
      </c>
      <c r="D299" s="3986"/>
      <c r="E299" s="1999" t="s">
        <v>2130</v>
      </c>
      <c r="F299" s="3782">
        <f t="shared" si="16"/>
        <v>149.60474720151754</v>
      </c>
      <c r="G299" s="945"/>
      <c r="H299" s="927"/>
      <c r="I299" s="940">
        <v>121119522</v>
      </c>
      <c r="J299" s="781">
        <v>579242558</v>
      </c>
      <c r="K299" s="781">
        <v>528982786</v>
      </c>
      <c r="L299" s="781">
        <v>364315442</v>
      </c>
      <c r="M299" s="781">
        <v>585896363</v>
      </c>
      <c r="N299" s="781">
        <v>489921518</v>
      </c>
      <c r="O299" s="781">
        <v>404632368</v>
      </c>
      <c r="P299" s="781">
        <v>46880770</v>
      </c>
      <c r="Q299" s="781">
        <v>288321827</v>
      </c>
      <c r="R299" s="877" t="s">
        <v>271</v>
      </c>
      <c r="S299" s="878" t="s">
        <v>66</v>
      </c>
      <c r="T299" s="2644" t="s">
        <v>2435</v>
      </c>
      <c r="U299" s="879">
        <v>1</v>
      </c>
      <c r="V299" s="875">
        <v>39826</v>
      </c>
      <c r="W299" s="881" t="s">
        <v>73</v>
      </c>
      <c r="X299" s="4285" t="s">
        <v>272</v>
      </c>
      <c r="Y299" s="857">
        <f t="shared" ca="1" si="15"/>
        <v>8.9361111111111118</v>
      </c>
      <c r="Z299" s="79"/>
    </row>
    <row r="300" spans="1:26" ht="14.1" customHeight="1" x14ac:dyDescent="0.25">
      <c r="A300" s="79">
        <v>288</v>
      </c>
      <c r="B300" s="1537" t="s">
        <v>1103</v>
      </c>
      <c r="C300" s="3812" t="s">
        <v>2662</v>
      </c>
      <c r="D300" s="2483"/>
      <c r="E300" s="2002"/>
      <c r="F300" s="3782">
        <f t="shared" si="16"/>
        <v>149.84394991440746</v>
      </c>
      <c r="G300" s="942"/>
      <c r="H300" s="943"/>
      <c r="I300" s="944">
        <v>135296235</v>
      </c>
      <c r="J300" s="781">
        <v>582648318</v>
      </c>
      <c r="K300" s="781">
        <v>503706006</v>
      </c>
      <c r="L300" s="781">
        <v>350127372</v>
      </c>
      <c r="M300" s="781">
        <v>609160738</v>
      </c>
      <c r="N300" s="781">
        <v>492148775</v>
      </c>
      <c r="O300" s="781">
        <v>354961760</v>
      </c>
      <c r="P300" s="781">
        <v>55851851</v>
      </c>
      <c r="Q300" s="808">
        <v>253911382</v>
      </c>
      <c r="R300" s="877" t="s">
        <v>277</v>
      </c>
      <c r="S300" s="878" t="s">
        <v>66</v>
      </c>
      <c r="T300" s="2644" t="s">
        <v>2435</v>
      </c>
      <c r="U300" s="879">
        <v>1</v>
      </c>
      <c r="V300" s="880">
        <v>35553</v>
      </c>
      <c r="W300" s="881" t="s">
        <v>278</v>
      </c>
      <c r="X300" s="4285" t="s">
        <v>732</v>
      </c>
      <c r="Y300" s="852">
        <f t="shared" ca="1" si="15"/>
        <v>20.630555555555556</v>
      </c>
      <c r="Z300" s="79">
        <v>288</v>
      </c>
    </row>
    <row r="301" spans="1:26" ht="14.1" customHeight="1" x14ac:dyDescent="0.2">
      <c r="A301" s="79"/>
      <c r="B301" s="98" t="s">
        <v>1685</v>
      </c>
      <c r="C301" s="3683" t="s">
        <v>1579</v>
      </c>
      <c r="D301" s="1944"/>
      <c r="E301" s="1999" t="s">
        <v>2130</v>
      </c>
      <c r="F301" s="3782">
        <f t="shared" si="16"/>
        <v>149.89397914518446</v>
      </c>
      <c r="G301" s="937">
        <f>65.6+55.2+75.7+87.5+68.9+69+97.1+83.4+75.4</f>
        <v>677.8</v>
      </c>
      <c r="H301" s="2117"/>
      <c r="I301" s="941">
        <v>126080999</v>
      </c>
      <c r="J301" s="939">
        <v>573814138</v>
      </c>
      <c r="K301" s="939">
        <v>531363220</v>
      </c>
      <c r="L301" s="939">
        <v>357558039</v>
      </c>
      <c r="M301" s="939">
        <v>589054933</v>
      </c>
      <c r="N301" s="939">
        <v>488494018</v>
      </c>
      <c r="O301" s="843">
        <v>440352548</v>
      </c>
      <c r="P301" s="939">
        <v>45169753</v>
      </c>
      <c r="Q301" s="939">
        <v>271680632</v>
      </c>
      <c r="R301" s="854" t="s">
        <v>1580</v>
      </c>
      <c r="S301" s="2715" t="s">
        <v>62</v>
      </c>
      <c r="T301" s="2739" t="s">
        <v>2435</v>
      </c>
      <c r="U301" s="2141">
        <v>1</v>
      </c>
      <c r="V301" s="855">
        <v>41688</v>
      </c>
      <c r="W301" s="856" t="s">
        <v>76</v>
      </c>
      <c r="X301" s="4315" t="s">
        <v>1402</v>
      </c>
      <c r="Y301" s="857">
        <f t="shared" ca="1" si="15"/>
        <v>3.838888888888889</v>
      </c>
      <c r="Z301" s="79"/>
    </row>
    <row r="302" spans="1:26" ht="14.1" customHeight="1" x14ac:dyDescent="0.25">
      <c r="A302" s="79">
        <v>290</v>
      </c>
      <c r="B302" s="3673" t="s">
        <v>1103</v>
      </c>
      <c r="C302" s="3682" t="s">
        <v>2179</v>
      </c>
      <c r="D302" s="3692"/>
      <c r="E302" s="2824"/>
      <c r="F302" s="3782">
        <f t="shared" si="16"/>
        <v>149.988219686127</v>
      </c>
      <c r="G302" s="3705"/>
      <c r="H302" s="3718"/>
      <c r="I302" s="947">
        <v>114984931</v>
      </c>
      <c r="J302" s="936">
        <v>573584209</v>
      </c>
      <c r="K302" s="936">
        <v>530284960</v>
      </c>
      <c r="L302" s="936">
        <v>363810029</v>
      </c>
      <c r="M302" s="936">
        <v>588684739</v>
      </c>
      <c r="N302" s="936">
        <v>488608806</v>
      </c>
      <c r="O302" s="846">
        <v>435273450</v>
      </c>
      <c r="P302" s="936">
        <v>46774447</v>
      </c>
      <c r="Q302" s="936">
        <v>291792623</v>
      </c>
      <c r="R302" s="3741" t="s">
        <v>140</v>
      </c>
      <c r="S302" s="3748" t="s">
        <v>66</v>
      </c>
      <c r="T302" s="3757" t="s">
        <v>2435</v>
      </c>
      <c r="U302" s="3764">
        <v>1</v>
      </c>
      <c r="V302" s="3770">
        <v>36516</v>
      </c>
      <c r="W302" s="3777" t="s">
        <v>73</v>
      </c>
      <c r="X302" s="4341" t="s">
        <v>691</v>
      </c>
      <c r="Y302" s="2846">
        <f t="shared" ca="1" si="15"/>
        <v>17.994444444444444</v>
      </c>
      <c r="Z302" s="79">
        <v>290</v>
      </c>
    </row>
    <row r="303" spans="1:26" ht="14.1" customHeight="1" x14ac:dyDescent="0.25">
      <c r="A303" s="79"/>
      <c r="B303" s="985" t="s">
        <v>1103</v>
      </c>
      <c r="C303" s="2226" t="s">
        <v>281</v>
      </c>
      <c r="D303" s="1940"/>
      <c r="E303" s="2007"/>
      <c r="F303" s="3782">
        <f t="shared" si="16"/>
        <v>150.33602685718037</v>
      </c>
      <c r="G303" s="3697"/>
      <c r="H303" s="3714"/>
      <c r="I303" s="940">
        <v>113267053</v>
      </c>
      <c r="J303" s="781">
        <v>573588289</v>
      </c>
      <c r="K303" s="781">
        <v>530282802</v>
      </c>
      <c r="L303" s="781">
        <v>363814953</v>
      </c>
      <c r="M303" s="781">
        <v>588684449</v>
      </c>
      <c r="N303" s="781">
        <v>488608422</v>
      </c>
      <c r="O303" s="781">
        <v>435272370</v>
      </c>
      <c r="P303" s="781">
        <v>48497803</v>
      </c>
      <c r="Q303" s="781">
        <v>291794075</v>
      </c>
      <c r="R303" s="996" t="s">
        <v>140</v>
      </c>
      <c r="S303" s="1001" t="s">
        <v>131</v>
      </c>
      <c r="T303" s="2670" t="s">
        <v>2435</v>
      </c>
      <c r="U303" s="1002">
        <v>1</v>
      </c>
      <c r="V303" s="1003">
        <v>35977</v>
      </c>
      <c r="W303" s="998" t="s">
        <v>73</v>
      </c>
      <c r="X303" s="4342" t="s">
        <v>280</v>
      </c>
      <c r="Y303" s="999">
        <f t="shared" ca="1" si="15"/>
        <v>19.469444444444445</v>
      </c>
      <c r="Z303" s="79"/>
    </row>
    <row r="304" spans="1:26" ht="14.1" customHeight="1" x14ac:dyDescent="0.2">
      <c r="A304" s="79">
        <v>292</v>
      </c>
      <c r="B304" s="978" t="s">
        <v>1685</v>
      </c>
      <c r="C304" s="2149" t="s">
        <v>2258</v>
      </c>
      <c r="D304" s="1349" t="s">
        <v>40</v>
      </c>
      <c r="E304" s="2008" t="s">
        <v>2130</v>
      </c>
      <c r="F304" s="3782">
        <f t="shared" si="16"/>
        <v>150.45289921628429</v>
      </c>
      <c r="G304" s="1029">
        <f>302+289.2+310.4+589.6+226.3+450.7+231.2+1101.7</f>
        <v>3501.0999999999995</v>
      </c>
      <c r="H304" s="995"/>
      <c r="I304" s="846">
        <v>112516673</v>
      </c>
      <c r="J304" s="781">
        <v>597170210</v>
      </c>
      <c r="K304" s="781">
        <v>547969854</v>
      </c>
      <c r="L304" s="781">
        <v>346152435</v>
      </c>
      <c r="M304" s="781">
        <v>583086632</v>
      </c>
      <c r="N304" s="781">
        <v>489208208</v>
      </c>
      <c r="O304" s="781">
        <v>475697332</v>
      </c>
      <c r="P304" s="781">
        <v>44498547</v>
      </c>
      <c r="Q304" s="781">
        <v>269089284</v>
      </c>
      <c r="R304" s="996" t="s">
        <v>2257</v>
      </c>
      <c r="S304" s="2696" t="s">
        <v>62</v>
      </c>
      <c r="T304" s="2670" t="s">
        <v>2435</v>
      </c>
      <c r="U304" s="1002">
        <v>1</v>
      </c>
      <c r="V304" s="1003">
        <v>42804</v>
      </c>
      <c r="W304" s="998" t="s">
        <v>156</v>
      </c>
      <c r="X304" s="4342" t="s">
        <v>2256</v>
      </c>
      <c r="Y304" s="992">
        <f t="shared" ca="1" si="15"/>
        <v>0.77777777777777779</v>
      </c>
      <c r="Z304" s="79">
        <v>292</v>
      </c>
    </row>
    <row r="305" spans="1:26" ht="14.1" customHeight="1" x14ac:dyDescent="0.2">
      <c r="A305" s="79"/>
      <c r="B305" s="1020" t="s">
        <v>1685</v>
      </c>
      <c r="C305" s="1210" t="s">
        <v>1192</v>
      </c>
      <c r="D305" s="1954" t="s">
        <v>40</v>
      </c>
      <c r="E305" s="2009" t="s">
        <v>2130</v>
      </c>
      <c r="F305" s="3782">
        <f t="shared" si="16"/>
        <v>150.6823341392253</v>
      </c>
      <c r="G305" s="1004"/>
      <c r="H305" s="1005"/>
      <c r="I305" s="2274">
        <v>113365154</v>
      </c>
      <c r="J305" s="843">
        <v>552114298</v>
      </c>
      <c r="K305" s="843">
        <v>529652896</v>
      </c>
      <c r="L305" s="843">
        <v>370464774</v>
      </c>
      <c r="M305" s="843">
        <v>587875931</v>
      </c>
      <c r="N305" s="843">
        <v>490009961</v>
      </c>
      <c r="O305" s="843">
        <v>439654316</v>
      </c>
      <c r="P305" s="843">
        <v>47893821</v>
      </c>
      <c r="Q305" s="843">
        <v>301908844</v>
      </c>
      <c r="R305" s="1006" t="s">
        <v>149</v>
      </c>
      <c r="S305" s="1007" t="s">
        <v>66</v>
      </c>
      <c r="T305" s="2671" t="s">
        <v>2435</v>
      </c>
      <c r="U305" s="2699">
        <v>4</v>
      </c>
      <c r="V305" s="1009">
        <v>39551</v>
      </c>
      <c r="W305" s="1010" t="s">
        <v>2215</v>
      </c>
      <c r="X305" s="4343" t="s">
        <v>150</v>
      </c>
      <c r="Y305" s="999">
        <f t="shared" ca="1" si="15"/>
        <v>9.6861111111111118</v>
      </c>
      <c r="Z305" s="79"/>
    </row>
    <row r="306" spans="1:26" ht="14.1" customHeight="1" x14ac:dyDescent="0.25">
      <c r="A306" s="79">
        <v>294</v>
      </c>
      <c r="B306" s="129" t="s">
        <v>1685</v>
      </c>
      <c r="C306" s="3681" t="s">
        <v>622</v>
      </c>
      <c r="D306" s="1794"/>
      <c r="E306" s="2008" t="s">
        <v>2130</v>
      </c>
      <c r="F306" s="3782">
        <f t="shared" si="16"/>
        <v>150.82777953525508</v>
      </c>
      <c r="G306" s="2136">
        <f>1845+2940+2399+2318+1705+372+1358+3100</f>
        <v>16037</v>
      </c>
      <c r="H306" s="2255"/>
      <c r="I306" s="947">
        <v>125183228</v>
      </c>
      <c r="J306" s="936">
        <v>565585134</v>
      </c>
      <c r="K306" s="936">
        <v>501529064</v>
      </c>
      <c r="L306" s="936">
        <v>347573890</v>
      </c>
      <c r="M306" s="936">
        <v>593830572</v>
      </c>
      <c r="N306" s="936">
        <v>488045433</v>
      </c>
      <c r="O306" s="846">
        <v>392180595</v>
      </c>
      <c r="P306" s="936">
        <v>44723095</v>
      </c>
      <c r="Q306" s="936">
        <v>252179016</v>
      </c>
      <c r="R306" s="1026" t="s">
        <v>546</v>
      </c>
      <c r="S306" s="3634" t="s">
        <v>66</v>
      </c>
      <c r="T306" s="2674" t="s">
        <v>2435</v>
      </c>
      <c r="U306" s="993">
        <v>1</v>
      </c>
      <c r="V306" s="1027">
        <v>40512</v>
      </c>
      <c r="W306" s="4207" t="s">
        <v>106</v>
      </c>
      <c r="X306" s="4344" t="s">
        <v>547</v>
      </c>
      <c r="Y306" s="992">
        <f t="shared" ca="1" si="15"/>
        <v>7.0555555555555554</v>
      </c>
      <c r="Z306" s="79">
        <v>294</v>
      </c>
    </row>
    <row r="307" spans="1:26" ht="14.1" customHeight="1" x14ac:dyDescent="0.2">
      <c r="A307" s="79"/>
      <c r="B307" s="2741" t="s">
        <v>1103</v>
      </c>
      <c r="C307" s="1208" t="s">
        <v>1641</v>
      </c>
      <c r="D307" s="1349" t="s">
        <v>40</v>
      </c>
      <c r="E307" s="2009"/>
      <c r="F307" s="3782">
        <f t="shared" si="16"/>
        <v>151.26449609371679</v>
      </c>
      <c r="G307" s="994"/>
      <c r="H307" s="995"/>
      <c r="I307" s="2756">
        <v>129910596</v>
      </c>
      <c r="J307" s="808">
        <v>514253250</v>
      </c>
      <c r="K307" s="808">
        <v>519639028</v>
      </c>
      <c r="L307" s="808">
        <v>379350358</v>
      </c>
      <c r="M307" s="808">
        <v>593149296</v>
      </c>
      <c r="N307" s="808">
        <v>489318744</v>
      </c>
      <c r="O307" s="781">
        <v>356461434</v>
      </c>
      <c r="P307" s="808">
        <v>52740720</v>
      </c>
      <c r="Q307" s="808">
        <v>310403084</v>
      </c>
      <c r="R307" s="996" t="s">
        <v>276</v>
      </c>
      <c r="S307" s="1001" t="s">
        <v>131</v>
      </c>
      <c r="T307" s="2670" t="s">
        <v>2435</v>
      </c>
      <c r="U307" s="1002">
        <v>1</v>
      </c>
      <c r="V307" s="1003">
        <v>34851</v>
      </c>
      <c r="W307" s="998" t="s">
        <v>253</v>
      </c>
      <c r="X307" s="4342" t="s">
        <v>730</v>
      </c>
      <c r="Y307" s="999">
        <f t="shared" ca="1" si="15"/>
        <v>22.552777777777777</v>
      </c>
      <c r="Z307" s="79"/>
    </row>
    <row r="308" spans="1:26" ht="14.1" customHeight="1" x14ac:dyDescent="0.25">
      <c r="A308" s="79">
        <v>296</v>
      </c>
      <c r="B308" s="133" t="s">
        <v>1685</v>
      </c>
      <c r="C308" s="1209" t="s">
        <v>713</v>
      </c>
      <c r="D308" s="1794"/>
      <c r="E308" s="2008" t="s">
        <v>2130</v>
      </c>
      <c r="F308" s="3782">
        <f t="shared" si="16"/>
        <v>152.13278496159143</v>
      </c>
      <c r="G308" s="1016"/>
      <c r="H308" s="1017"/>
      <c r="I308" s="944">
        <v>126987113</v>
      </c>
      <c r="J308" s="781">
        <v>572837639</v>
      </c>
      <c r="K308" s="808">
        <v>530765416</v>
      </c>
      <c r="L308" s="808">
        <v>379523449</v>
      </c>
      <c r="M308" s="808">
        <v>591417913</v>
      </c>
      <c r="N308" s="808">
        <v>487494148</v>
      </c>
      <c r="O308" s="781">
        <v>345286247</v>
      </c>
      <c r="P308" s="808">
        <v>52555563</v>
      </c>
      <c r="Q308" s="808">
        <v>307212064</v>
      </c>
      <c r="R308" s="988" t="s">
        <v>704</v>
      </c>
      <c r="S308" s="989" t="s">
        <v>131</v>
      </c>
      <c r="T308" s="2669" t="s">
        <v>2435</v>
      </c>
      <c r="U308" s="1019">
        <v>1</v>
      </c>
      <c r="V308" s="990">
        <v>36371</v>
      </c>
      <c r="W308" s="991" t="s">
        <v>71</v>
      </c>
      <c r="X308" s="4345" t="s">
        <v>1513</v>
      </c>
      <c r="Y308" s="992">
        <f t="shared" ref="Y308:Y371" ca="1" si="17">YEARFRAC(V308,Y$6)</f>
        <v>18.388888888888889</v>
      </c>
      <c r="Z308" s="79">
        <v>296</v>
      </c>
    </row>
    <row r="309" spans="1:26" ht="14.1" customHeight="1" x14ac:dyDescent="0.2">
      <c r="A309" s="79"/>
      <c r="B309" s="1020" t="s">
        <v>1685</v>
      </c>
      <c r="C309" s="2817" t="s">
        <v>2227</v>
      </c>
      <c r="D309" s="1349" t="s">
        <v>40</v>
      </c>
      <c r="E309" s="2009"/>
      <c r="F309" s="3782">
        <f t="shared" si="16"/>
        <v>152.29631264883915</v>
      </c>
      <c r="G309" s="1796">
        <f>211+103+98.7+287.1+111.8+100.7+134+209.5+314.2</f>
        <v>1570</v>
      </c>
      <c r="H309" s="1005"/>
      <c r="I309" s="941">
        <v>124808573</v>
      </c>
      <c r="J309" s="939">
        <v>506288667</v>
      </c>
      <c r="K309" s="939">
        <v>491703883</v>
      </c>
      <c r="L309" s="939">
        <v>382605735</v>
      </c>
      <c r="M309" s="939">
        <v>594124399</v>
      </c>
      <c r="N309" s="939">
        <v>487328981</v>
      </c>
      <c r="O309" s="843">
        <v>370208619</v>
      </c>
      <c r="P309" s="939">
        <v>59296564</v>
      </c>
      <c r="Q309" s="1516">
        <v>299183701</v>
      </c>
      <c r="R309" s="1006" t="s">
        <v>109</v>
      </c>
      <c r="S309" s="2829" t="s">
        <v>66</v>
      </c>
      <c r="T309" s="2671" t="s">
        <v>2435</v>
      </c>
      <c r="U309" s="1008">
        <v>1</v>
      </c>
      <c r="V309" s="1009">
        <v>42651</v>
      </c>
      <c r="W309" s="1010" t="s">
        <v>1221</v>
      </c>
      <c r="X309" s="4346" t="s">
        <v>2261</v>
      </c>
      <c r="Y309" s="999">
        <f t="shared" ca="1" si="17"/>
        <v>1.2</v>
      </c>
      <c r="Z309" s="79"/>
    </row>
    <row r="310" spans="1:26" ht="14.1" customHeight="1" x14ac:dyDescent="0.25">
      <c r="A310" s="79">
        <v>298</v>
      </c>
      <c r="B310" s="129" t="s">
        <v>1685</v>
      </c>
      <c r="C310" s="1428" t="s">
        <v>1207</v>
      </c>
      <c r="D310" s="2211"/>
      <c r="E310" s="2008"/>
      <c r="F310" s="3782">
        <f t="shared" si="16"/>
        <v>152.48850989509666</v>
      </c>
      <c r="G310" s="2288"/>
      <c r="H310" s="2255"/>
      <c r="I310" s="947">
        <v>134090584</v>
      </c>
      <c r="J310" s="936">
        <v>570351649</v>
      </c>
      <c r="K310" s="936">
        <v>534251008</v>
      </c>
      <c r="L310" s="936">
        <v>342905475</v>
      </c>
      <c r="M310" s="936">
        <v>596889737</v>
      </c>
      <c r="N310" s="936">
        <v>490886780</v>
      </c>
      <c r="O310" s="846">
        <v>402267633</v>
      </c>
      <c r="P310" s="936">
        <v>53043904</v>
      </c>
      <c r="Q310" s="936">
        <v>280915604</v>
      </c>
      <c r="R310" s="1026" t="s">
        <v>283</v>
      </c>
      <c r="S310" s="3634" t="s">
        <v>131</v>
      </c>
      <c r="T310" s="2674" t="s">
        <v>2435</v>
      </c>
      <c r="U310" s="993">
        <v>1</v>
      </c>
      <c r="V310" s="1027">
        <v>36270</v>
      </c>
      <c r="W310" s="1028" t="s">
        <v>208</v>
      </c>
      <c r="X310" s="4344" t="s">
        <v>1517</v>
      </c>
      <c r="Y310" s="992">
        <f t="shared" ca="1" si="17"/>
        <v>18.666666666666668</v>
      </c>
      <c r="Z310" s="79">
        <v>298</v>
      </c>
    </row>
    <row r="311" spans="1:26" ht="14.1" customHeight="1" x14ac:dyDescent="0.2">
      <c r="A311" s="79"/>
      <c r="B311" s="978" t="s">
        <v>1685</v>
      </c>
      <c r="C311" s="1206" t="s">
        <v>2097</v>
      </c>
      <c r="D311" s="1349" t="s">
        <v>40</v>
      </c>
      <c r="E311" s="2009" t="s">
        <v>2130</v>
      </c>
      <c r="F311" s="3782">
        <f t="shared" si="16"/>
        <v>152.84564341707232</v>
      </c>
      <c r="G311" s="1029">
        <f>31.1+49.1+45.7+101.2+50.9+40.2+57.4+13.4+124.8</f>
        <v>513.79999999999995</v>
      </c>
      <c r="H311" s="1525"/>
      <c r="I311" s="944">
        <v>120012116</v>
      </c>
      <c r="J311" s="808">
        <v>573150503</v>
      </c>
      <c r="K311" s="808">
        <v>527971982</v>
      </c>
      <c r="L311" s="808">
        <v>373043673</v>
      </c>
      <c r="M311" s="902">
        <v>589906313</v>
      </c>
      <c r="N311" s="808">
        <v>488113365</v>
      </c>
      <c r="O311" s="4059">
        <v>442406663</v>
      </c>
      <c r="P311" s="902">
        <v>49237286</v>
      </c>
      <c r="Q311" s="902">
        <v>295710981</v>
      </c>
      <c r="R311" s="996" t="s">
        <v>2096</v>
      </c>
      <c r="S311" s="2696" t="s">
        <v>62</v>
      </c>
      <c r="T311" s="2670" t="s">
        <v>2435</v>
      </c>
      <c r="U311" s="1002">
        <v>1</v>
      </c>
      <c r="V311" s="1003">
        <v>42504</v>
      </c>
      <c r="W311" s="998" t="s">
        <v>1857</v>
      </c>
      <c r="X311" s="4342" t="s">
        <v>1797</v>
      </c>
      <c r="Y311" s="999">
        <f t="shared" ca="1" si="17"/>
        <v>1.6</v>
      </c>
      <c r="Z311" s="79"/>
    </row>
    <row r="312" spans="1:26" ht="14.1" customHeight="1" x14ac:dyDescent="0.2">
      <c r="A312" s="79">
        <v>300</v>
      </c>
      <c r="B312" s="133" t="s">
        <v>1685</v>
      </c>
      <c r="C312" s="3205" t="s">
        <v>1281</v>
      </c>
      <c r="D312" s="1802" t="s">
        <v>40</v>
      </c>
      <c r="E312" s="2008" t="s">
        <v>2130</v>
      </c>
      <c r="F312" s="3782">
        <f t="shared" si="16"/>
        <v>153.03366180266192</v>
      </c>
      <c r="G312" s="1016"/>
      <c r="H312" s="1017"/>
      <c r="I312" s="940">
        <v>184719119</v>
      </c>
      <c r="J312" s="808">
        <v>568154153</v>
      </c>
      <c r="K312" s="781">
        <v>565514093</v>
      </c>
      <c r="L312" s="781">
        <v>420438761</v>
      </c>
      <c r="M312" s="781">
        <v>590141390</v>
      </c>
      <c r="N312" s="781">
        <v>509723756</v>
      </c>
      <c r="O312" s="781">
        <v>341268733</v>
      </c>
      <c r="P312" s="781">
        <v>41767324</v>
      </c>
      <c r="Q312" s="781">
        <v>213572518</v>
      </c>
      <c r="R312" s="988" t="s">
        <v>519</v>
      </c>
      <c r="S312" s="989" t="s">
        <v>66</v>
      </c>
      <c r="T312" s="2665" t="s">
        <v>2435</v>
      </c>
      <c r="U312" s="1019">
        <v>1</v>
      </c>
      <c r="V312" s="990">
        <v>35566</v>
      </c>
      <c r="W312" s="991" t="s">
        <v>76</v>
      </c>
      <c r="X312" s="4345" t="s">
        <v>518</v>
      </c>
      <c r="Y312" s="992">
        <f t="shared" ca="1" si="17"/>
        <v>20.594444444444445</v>
      </c>
      <c r="Z312" s="79">
        <v>300</v>
      </c>
    </row>
    <row r="313" spans="1:26" ht="14.1" customHeight="1" x14ac:dyDescent="0.2">
      <c r="A313" s="79"/>
      <c r="B313" s="131" t="s">
        <v>1685</v>
      </c>
      <c r="C313" s="2360" t="s">
        <v>1566</v>
      </c>
      <c r="D313" s="1349" t="s">
        <v>40</v>
      </c>
      <c r="E313" s="2009" t="s">
        <v>2130</v>
      </c>
      <c r="F313" s="3782">
        <f t="shared" si="16"/>
        <v>153.11763227679137</v>
      </c>
      <c r="G313" s="2368">
        <f>22+125+112+73+144+121+103+8+83</f>
        <v>791</v>
      </c>
      <c r="H313" s="2282"/>
      <c r="I313" s="853">
        <v>128134732</v>
      </c>
      <c r="J313" s="843">
        <v>579775902</v>
      </c>
      <c r="K313" s="843">
        <v>539825963</v>
      </c>
      <c r="L313" s="843">
        <v>365205490</v>
      </c>
      <c r="M313" s="843">
        <v>603650858</v>
      </c>
      <c r="N313" s="843">
        <v>498817179</v>
      </c>
      <c r="O313" s="843">
        <v>452438588</v>
      </c>
      <c r="P313" s="843">
        <v>45991052</v>
      </c>
      <c r="Q313" s="843">
        <v>280824880</v>
      </c>
      <c r="R313" s="1030" t="s">
        <v>1564</v>
      </c>
      <c r="S313" s="2761" t="s">
        <v>62</v>
      </c>
      <c r="T313" s="2672" t="s">
        <v>2435</v>
      </c>
      <c r="U313" s="1031">
        <v>1</v>
      </c>
      <c r="V313" s="1034">
        <v>41637</v>
      </c>
      <c r="W313" s="1032" t="s">
        <v>74</v>
      </c>
      <c r="X313" s="4347" t="s">
        <v>1565</v>
      </c>
      <c r="Y313" s="999">
        <f t="shared" ca="1" si="17"/>
        <v>3.9750000000000001</v>
      </c>
      <c r="Z313" s="79"/>
    </row>
    <row r="314" spans="1:26" ht="14.1" customHeight="1" x14ac:dyDescent="0.25">
      <c r="A314" s="79">
        <v>302</v>
      </c>
      <c r="B314" s="1000" t="s">
        <v>1685</v>
      </c>
      <c r="C314" s="1235" t="s">
        <v>1282</v>
      </c>
      <c r="D314" s="1955"/>
      <c r="E314" s="2010"/>
      <c r="F314" s="3782">
        <f t="shared" si="16"/>
        <v>153.19842391068877</v>
      </c>
      <c r="G314" s="1021"/>
      <c r="H314" s="1022"/>
      <c r="I314" s="947">
        <v>125077776</v>
      </c>
      <c r="J314" s="936">
        <v>571804640</v>
      </c>
      <c r="K314" s="936">
        <v>533774823</v>
      </c>
      <c r="L314" s="936">
        <v>365560640</v>
      </c>
      <c r="M314" s="936">
        <v>588188604</v>
      </c>
      <c r="N314" s="936">
        <v>489781176</v>
      </c>
      <c r="O314" s="846">
        <v>454795439</v>
      </c>
      <c r="P314" s="936">
        <v>51498310</v>
      </c>
      <c r="Q314" s="936">
        <v>277858193</v>
      </c>
      <c r="R314" s="1012" t="s">
        <v>292</v>
      </c>
      <c r="S314" s="1013" t="s">
        <v>66</v>
      </c>
      <c r="T314" s="2662" t="s">
        <v>2435</v>
      </c>
      <c r="U314" s="1014">
        <v>1</v>
      </c>
      <c r="V314" s="1023">
        <v>35653</v>
      </c>
      <c r="W314" s="1015" t="s">
        <v>76</v>
      </c>
      <c r="X314" s="4348" t="s">
        <v>107</v>
      </c>
      <c r="Y314" s="992">
        <f t="shared" ca="1" si="17"/>
        <v>20.358333333333334</v>
      </c>
      <c r="Z314" s="79">
        <v>302</v>
      </c>
    </row>
    <row r="315" spans="1:26" ht="14.1" customHeight="1" x14ac:dyDescent="0.25">
      <c r="A315" s="79"/>
      <c r="B315" s="133" t="s">
        <v>1685</v>
      </c>
      <c r="C315" s="1207" t="s">
        <v>1283</v>
      </c>
      <c r="D315" s="1678"/>
      <c r="E315" s="2009" t="s">
        <v>2130</v>
      </c>
      <c r="F315" s="3782">
        <f t="shared" si="16"/>
        <v>153.96652538551859</v>
      </c>
      <c r="G315" s="994"/>
      <c r="H315" s="995"/>
      <c r="I315" s="940">
        <v>122032252</v>
      </c>
      <c r="J315" s="808">
        <v>572867052</v>
      </c>
      <c r="K315" s="781">
        <v>530855292</v>
      </c>
      <c r="L315" s="781">
        <v>382712892</v>
      </c>
      <c r="M315" s="781">
        <v>586241020</v>
      </c>
      <c r="N315" s="781">
        <v>488600384</v>
      </c>
      <c r="O315" s="781">
        <v>448934400</v>
      </c>
      <c r="P315" s="781">
        <v>46870900</v>
      </c>
      <c r="Q315" s="781">
        <v>310814804</v>
      </c>
      <c r="R315" s="988" t="s">
        <v>284</v>
      </c>
      <c r="S315" s="989" t="s">
        <v>66</v>
      </c>
      <c r="T315" s="2665" t="s">
        <v>2435</v>
      </c>
      <c r="U315" s="1019">
        <v>1</v>
      </c>
      <c r="V315" s="990">
        <v>39317</v>
      </c>
      <c r="W315" s="991" t="s">
        <v>285</v>
      </c>
      <c r="X315" s="4345" t="s">
        <v>286</v>
      </c>
      <c r="Y315" s="999">
        <f t="shared" ca="1" si="17"/>
        <v>10.324999999999999</v>
      </c>
      <c r="Z315" s="79"/>
    </row>
    <row r="316" spans="1:26" ht="14.1" customHeight="1" x14ac:dyDescent="0.2">
      <c r="A316" s="79">
        <v>304</v>
      </c>
      <c r="B316" s="1000" t="s">
        <v>1685</v>
      </c>
      <c r="C316" s="1206" t="s">
        <v>1960</v>
      </c>
      <c r="D316" s="1349" t="s">
        <v>40</v>
      </c>
      <c r="E316" s="2008" t="s">
        <v>2130</v>
      </c>
      <c r="F316" s="3782">
        <f t="shared" si="16"/>
        <v>155.11584783659029</v>
      </c>
      <c r="G316" s="1029">
        <f>138.4+160.8+153.7+240.2+172.2+129.4+219.8+76.8+334.2</f>
        <v>1625.5</v>
      </c>
      <c r="H316" s="995"/>
      <c r="I316" s="944">
        <v>127750568</v>
      </c>
      <c r="J316" s="808">
        <v>574504637</v>
      </c>
      <c r="K316" s="808">
        <v>532160331</v>
      </c>
      <c r="L316" s="808">
        <v>370612894</v>
      </c>
      <c r="M316" s="808">
        <v>590807886</v>
      </c>
      <c r="N316" s="808">
        <v>488147111</v>
      </c>
      <c r="O316" s="781">
        <v>453459609</v>
      </c>
      <c r="P316" s="808">
        <v>49596511</v>
      </c>
      <c r="Q316" s="902">
        <v>294449982</v>
      </c>
      <c r="R316" s="996" t="s">
        <v>1961</v>
      </c>
      <c r="S316" s="2696" t="s">
        <v>62</v>
      </c>
      <c r="T316" s="2670" t="s">
        <v>2435</v>
      </c>
      <c r="U316" s="1002">
        <v>1</v>
      </c>
      <c r="V316" s="1003">
        <v>42315</v>
      </c>
      <c r="W316" s="998" t="s">
        <v>181</v>
      </c>
      <c r="X316" s="4342" t="s">
        <v>1797</v>
      </c>
      <c r="Y316" s="992">
        <f t="shared" ca="1" si="17"/>
        <v>2.1194444444444445</v>
      </c>
      <c r="Z316" s="79">
        <v>304</v>
      </c>
    </row>
    <row r="317" spans="1:26" ht="14.1" customHeight="1" x14ac:dyDescent="0.25">
      <c r="A317" s="79"/>
      <c r="B317" s="2741" t="s">
        <v>1103</v>
      </c>
      <c r="C317" s="1210" t="s">
        <v>290</v>
      </c>
      <c r="D317" s="2546"/>
      <c r="E317" s="2007"/>
      <c r="F317" s="3782">
        <f t="shared" si="16"/>
        <v>155.21707309246531</v>
      </c>
      <c r="G317" s="1004"/>
      <c r="H317" s="1005"/>
      <c r="I317" s="941">
        <v>124664755</v>
      </c>
      <c r="J317" s="939">
        <v>569383818</v>
      </c>
      <c r="K317" s="939">
        <v>528151681</v>
      </c>
      <c r="L317" s="939">
        <v>378246404</v>
      </c>
      <c r="M317" s="939">
        <v>591305957</v>
      </c>
      <c r="N317" s="939">
        <v>486929447</v>
      </c>
      <c r="O317" s="843">
        <v>441529280</v>
      </c>
      <c r="P317" s="843">
        <v>52104095</v>
      </c>
      <c r="Q317" s="939">
        <v>304817372</v>
      </c>
      <c r="R317" s="1006" t="s">
        <v>291</v>
      </c>
      <c r="S317" s="1007" t="s">
        <v>66</v>
      </c>
      <c r="T317" s="2671" t="s">
        <v>2435</v>
      </c>
      <c r="U317" s="1008">
        <v>1</v>
      </c>
      <c r="V317" s="1009">
        <v>36766</v>
      </c>
      <c r="W317" s="1010" t="s">
        <v>71</v>
      </c>
      <c r="X317" s="4343" t="s">
        <v>280</v>
      </c>
      <c r="Y317" s="999">
        <f t="shared" ca="1" si="17"/>
        <v>17.31111111111111</v>
      </c>
      <c r="Z317" s="79"/>
    </row>
    <row r="318" spans="1:26" ht="14.1" customHeight="1" x14ac:dyDescent="0.25">
      <c r="A318" s="79">
        <v>306</v>
      </c>
      <c r="B318" s="129" t="s">
        <v>1685</v>
      </c>
      <c r="C318" s="1428" t="s">
        <v>287</v>
      </c>
      <c r="D318" s="1794"/>
      <c r="E318" s="2008" t="s">
        <v>2130</v>
      </c>
      <c r="F318" s="3782">
        <f t="shared" si="16"/>
        <v>155.7495142558783</v>
      </c>
      <c r="G318" s="1021"/>
      <c r="H318" s="1022"/>
      <c r="I318" s="947">
        <v>126037228</v>
      </c>
      <c r="J318" s="936">
        <v>544315793</v>
      </c>
      <c r="K318" s="936">
        <v>531799352</v>
      </c>
      <c r="L318" s="936">
        <v>394674714</v>
      </c>
      <c r="M318" s="936">
        <v>592367033</v>
      </c>
      <c r="N318" s="936">
        <v>488980573</v>
      </c>
      <c r="O318" s="846">
        <v>451536806</v>
      </c>
      <c r="P318" s="936">
        <v>47917297</v>
      </c>
      <c r="Q318" s="936">
        <v>322436582</v>
      </c>
      <c r="R318" s="1012" t="s">
        <v>288</v>
      </c>
      <c r="S318" s="1013" t="s">
        <v>131</v>
      </c>
      <c r="T318" s="2664" t="s">
        <v>2435</v>
      </c>
      <c r="U318" s="1014">
        <v>1</v>
      </c>
      <c r="V318" s="1023">
        <v>34943</v>
      </c>
      <c r="W318" s="1015" t="s">
        <v>289</v>
      </c>
      <c r="X318" s="4348" t="s">
        <v>1514</v>
      </c>
      <c r="Y318" s="992">
        <f t="shared" ca="1" si="17"/>
        <v>22.302777777777777</v>
      </c>
      <c r="Z318" s="79">
        <v>306</v>
      </c>
    </row>
    <row r="319" spans="1:26" ht="14.1" customHeight="1" x14ac:dyDescent="0.2">
      <c r="A319" s="79"/>
      <c r="B319" s="133" t="s">
        <v>1685</v>
      </c>
      <c r="C319" s="2155" t="s">
        <v>2410</v>
      </c>
      <c r="D319" s="1349"/>
      <c r="E319" s="2007" t="s">
        <v>2130</v>
      </c>
      <c r="F319" s="3782">
        <f t="shared" si="16"/>
        <v>155.95916950637567</v>
      </c>
      <c r="G319" s="1024">
        <f>165.38+284.03+295.49+439.96+277.77+225.76+353.45+121.93+677.33</f>
        <v>2841.1</v>
      </c>
      <c r="H319" s="1017"/>
      <c r="I319" s="944">
        <v>127364433</v>
      </c>
      <c r="J319" s="808">
        <v>599091899</v>
      </c>
      <c r="K319" s="808">
        <v>549146016</v>
      </c>
      <c r="L319" s="808">
        <v>358882262</v>
      </c>
      <c r="M319" s="808">
        <v>584142028</v>
      </c>
      <c r="N319" s="808">
        <v>488574769</v>
      </c>
      <c r="O319" s="781">
        <v>474392184</v>
      </c>
      <c r="P319" s="808">
        <v>48612281</v>
      </c>
      <c r="Q319" s="808">
        <v>285397439</v>
      </c>
      <c r="R319" s="988" t="s">
        <v>521</v>
      </c>
      <c r="S319" s="989" t="s">
        <v>66</v>
      </c>
      <c r="T319" s="2669" t="s">
        <v>2435</v>
      </c>
      <c r="U319" s="1019">
        <v>1</v>
      </c>
      <c r="V319" s="990">
        <v>42929</v>
      </c>
      <c r="W319" s="991" t="s">
        <v>71</v>
      </c>
      <c r="X319" s="4345" t="s">
        <v>280</v>
      </c>
      <c r="Y319" s="999">
        <f t="shared" ca="1" si="17"/>
        <v>0.43611111111111112</v>
      </c>
      <c r="Z319" s="79"/>
    </row>
    <row r="320" spans="1:26" ht="14.1" customHeight="1" x14ac:dyDescent="0.2">
      <c r="A320" s="79">
        <v>308</v>
      </c>
      <c r="B320" s="133" t="s">
        <v>1685</v>
      </c>
      <c r="C320" s="1233" t="s">
        <v>1089</v>
      </c>
      <c r="D320" s="1802" t="s">
        <v>40</v>
      </c>
      <c r="E320" s="2008" t="s">
        <v>2130</v>
      </c>
      <c r="F320" s="3782">
        <f t="shared" si="16"/>
        <v>156.10029350398057</v>
      </c>
      <c r="G320" s="1024">
        <f>34.3+168.01+173.98+108.4+109.6+90.3+146.2+18.8+140.7</f>
        <v>990.29</v>
      </c>
      <c r="H320" s="1018"/>
      <c r="I320" s="940">
        <v>124576501</v>
      </c>
      <c r="J320" s="781">
        <v>599297584</v>
      </c>
      <c r="K320" s="781">
        <v>549182671</v>
      </c>
      <c r="L320" s="781">
        <v>371911997</v>
      </c>
      <c r="M320" s="781">
        <v>582357437</v>
      </c>
      <c r="N320" s="781">
        <v>488786885</v>
      </c>
      <c r="O320" s="781">
        <v>467498307</v>
      </c>
      <c r="P320" s="781">
        <v>47829036</v>
      </c>
      <c r="Q320" s="781">
        <v>303134539</v>
      </c>
      <c r="R320" s="988" t="s">
        <v>1088</v>
      </c>
      <c r="S320" s="1018" t="s">
        <v>66</v>
      </c>
      <c r="T320" s="2669" t="s">
        <v>2435</v>
      </c>
      <c r="U320" s="1019">
        <v>1</v>
      </c>
      <c r="V320" s="990">
        <v>41192</v>
      </c>
      <c r="W320" s="991" t="s">
        <v>76</v>
      </c>
      <c r="X320" s="4345" t="s">
        <v>280</v>
      </c>
      <c r="Y320" s="992">
        <f t="shared" ca="1" si="17"/>
        <v>5.1944444444444446</v>
      </c>
      <c r="Z320" s="79">
        <v>308</v>
      </c>
    </row>
    <row r="321" spans="1:26" ht="14.1" customHeight="1" x14ac:dyDescent="0.25">
      <c r="A321" s="79"/>
      <c r="B321" s="131" t="s">
        <v>1685</v>
      </c>
      <c r="C321" s="3976" t="s">
        <v>293</v>
      </c>
      <c r="D321" s="3828"/>
      <c r="E321" s="2009" t="s">
        <v>2130</v>
      </c>
      <c r="F321" s="3782">
        <f t="shared" si="16"/>
        <v>156.16965389216082</v>
      </c>
      <c r="G321" s="2317"/>
      <c r="H321" s="2282"/>
      <c r="I321" s="853">
        <v>129118947</v>
      </c>
      <c r="J321" s="843">
        <v>576231616</v>
      </c>
      <c r="K321" s="843">
        <v>529736997</v>
      </c>
      <c r="L321" s="939">
        <v>377549924</v>
      </c>
      <c r="M321" s="939">
        <v>594090706</v>
      </c>
      <c r="N321" s="843">
        <v>490825485</v>
      </c>
      <c r="O321" s="843">
        <v>459546746</v>
      </c>
      <c r="P321" s="843">
        <v>49004918</v>
      </c>
      <c r="Q321" s="843">
        <v>307324028</v>
      </c>
      <c r="R321" s="1006" t="s">
        <v>282</v>
      </c>
      <c r="S321" s="1007" t="s">
        <v>66</v>
      </c>
      <c r="T321" s="2671" t="s">
        <v>2435</v>
      </c>
      <c r="U321" s="1008">
        <v>1</v>
      </c>
      <c r="V321" s="1034">
        <v>39575</v>
      </c>
      <c r="W321" s="1010" t="s">
        <v>73</v>
      </c>
      <c r="X321" s="4343" t="s">
        <v>272</v>
      </c>
      <c r="Y321" s="999">
        <f t="shared" ca="1" si="17"/>
        <v>9.6194444444444436</v>
      </c>
      <c r="Z321" s="79"/>
    </row>
    <row r="322" spans="1:26" ht="14.1" customHeight="1" x14ac:dyDescent="0.2">
      <c r="A322" s="79">
        <v>310</v>
      </c>
      <c r="B322" s="129" t="s">
        <v>1685</v>
      </c>
      <c r="C322" s="1429" t="s">
        <v>2226</v>
      </c>
      <c r="D322" s="1802" t="s">
        <v>40</v>
      </c>
      <c r="E322" s="2008"/>
      <c r="F322" s="3782">
        <f t="shared" si="16"/>
        <v>156.21078911526459</v>
      </c>
      <c r="G322" s="1011">
        <f>190+133.8+120+213.9+124.7+91.7+119.9+216.7+208.8</f>
        <v>1419.5</v>
      </c>
      <c r="H322" s="1022"/>
      <c r="I322" s="947">
        <v>126990710</v>
      </c>
      <c r="J322" s="936">
        <v>549238369</v>
      </c>
      <c r="K322" s="936">
        <v>521956065</v>
      </c>
      <c r="L322" s="936">
        <v>386154827</v>
      </c>
      <c r="M322" s="936">
        <v>594221868</v>
      </c>
      <c r="N322" s="936">
        <v>488985662</v>
      </c>
      <c r="O322" s="846">
        <v>391784554</v>
      </c>
      <c r="P322" s="936">
        <v>59856156</v>
      </c>
      <c r="Q322" s="1694">
        <v>300982501</v>
      </c>
      <c r="R322" s="1026" t="s">
        <v>109</v>
      </c>
      <c r="S322" s="2158" t="s">
        <v>66</v>
      </c>
      <c r="T322" s="2674" t="s">
        <v>2435</v>
      </c>
      <c r="U322" s="993">
        <v>1</v>
      </c>
      <c r="V322" s="1027">
        <v>42488</v>
      </c>
      <c r="W322" s="1028" t="s">
        <v>1221</v>
      </c>
      <c r="X322" s="4349" t="s">
        <v>2261</v>
      </c>
      <c r="Y322" s="992">
        <f t="shared" ca="1" si="17"/>
        <v>1.6444444444444444</v>
      </c>
      <c r="Z322" s="79">
        <v>310</v>
      </c>
    </row>
    <row r="323" spans="1:26" ht="14.1" customHeight="1" x14ac:dyDescent="0.25">
      <c r="A323" s="79"/>
      <c r="B323" s="2523" t="s">
        <v>1685</v>
      </c>
      <c r="C323" s="3205" t="s">
        <v>1284</v>
      </c>
      <c r="D323" s="3990"/>
      <c r="E323" s="3830" t="s">
        <v>2130</v>
      </c>
      <c r="F323" s="3782">
        <f t="shared" si="16"/>
        <v>157.17178506085969</v>
      </c>
      <c r="G323" s="4018"/>
      <c r="H323" s="3219"/>
      <c r="I323" s="940">
        <v>131502022</v>
      </c>
      <c r="J323" s="808">
        <v>578317805</v>
      </c>
      <c r="K323" s="808">
        <v>534158509</v>
      </c>
      <c r="L323" s="781">
        <v>368927074</v>
      </c>
      <c r="M323" s="808">
        <v>588145482</v>
      </c>
      <c r="N323" s="781">
        <v>487951181</v>
      </c>
      <c r="O323" s="781">
        <v>450558018</v>
      </c>
      <c r="P323" s="781">
        <v>51264391</v>
      </c>
      <c r="Q323" s="781">
        <v>314459996</v>
      </c>
      <c r="R323" s="4091" t="s">
        <v>522</v>
      </c>
      <c r="S323" s="4121" t="s">
        <v>66</v>
      </c>
      <c r="T323" s="4136" t="s">
        <v>2435</v>
      </c>
      <c r="U323" s="4167">
        <v>1</v>
      </c>
      <c r="V323" s="4196">
        <v>40290</v>
      </c>
      <c r="W323" s="4218" t="s">
        <v>181</v>
      </c>
      <c r="X323" s="4350" t="s">
        <v>1402</v>
      </c>
      <c r="Y323" s="999">
        <f t="shared" ca="1" si="17"/>
        <v>7.6611111111111114</v>
      </c>
      <c r="Z323" s="79"/>
    </row>
    <row r="324" spans="1:26" ht="14.1" customHeight="1" x14ac:dyDescent="0.2">
      <c r="A324" s="79">
        <v>312</v>
      </c>
      <c r="B324" s="978" t="s">
        <v>1685</v>
      </c>
      <c r="C324" s="2149" t="s">
        <v>2260</v>
      </c>
      <c r="D324" s="1349" t="s">
        <v>40</v>
      </c>
      <c r="E324" s="2008" t="s">
        <v>2130</v>
      </c>
      <c r="F324" s="3782">
        <f t="shared" si="16"/>
        <v>157.24484080469563</v>
      </c>
      <c r="G324" s="1029">
        <f>71.7+51.7+62.2+171.4+57.4+37.6+89.4+58.6+262.7</f>
        <v>862.7</v>
      </c>
      <c r="H324" s="995"/>
      <c r="I324" s="940">
        <v>130157543</v>
      </c>
      <c r="J324" s="781">
        <v>570596051</v>
      </c>
      <c r="K324" s="781">
        <v>529589546</v>
      </c>
      <c r="L324" s="781">
        <v>378642955</v>
      </c>
      <c r="M324" s="781">
        <v>591355932</v>
      </c>
      <c r="N324" s="781">
        <v>487716276</v>
      </c>
      <c r="O324" s="781">
        <v>441205561</v>
      </c>
      <c r="P324" s="781">
        <v>52920180</v>
      </c>
      <c r="Q324" s="781">
        <v>309815458</v>
      </c>
      <c r="R324" s="996" t="s">
        <v>302</v>
      </c>
      <c r="S324" s="2696" t="s">
        <v>62</v>
      </c>
      <c r="T324" s="2670" t="s">
        <v>2435</v>
      </c>
      <c r="U324" s="1002">
        <v>1</v>
      </c>
      <c r="V324" s="1003">
        <v>42749</v>
      </c>
      <c r="W324" s="998" t="s">
        <v>1857</v>
      </c>
      <c r="X324" s="4342" t="s">
        <v>358</v>
      </c>
      <c r="Y324" s="992">
        <f t="shared" ca="1" si="17"/>
        <v>0.93333333333333335</v>
      </c>
      <c r="Z324" s="79">
        <v>312</v>
      </c>
    </row>
    <row r="325" spans="1:26" ht="14.1" customHeight="1" x14ac:dyDescent="0.25">
      <c r="A325" s="79"/>
      <c r="B325" s="1020" t="s">
        <v>1685</v>
      </c>
      <c r="C325" s="1210" t="s">
        <v>1642</v>
      </c>
      <c r="D325" s="1958"/>
      <c r="E325" s="2007"/>
      <c r="F325" s="3782">
        <f t="shared" si="16"/>
        <v>157.41894474882145</v>
      </c>
      <c r="G325" s="1004"/>
      <c r="H325" s="1005"/>
      <c r="I325" s="853">
        <v>132799561</v>
      </c>
      <c r="J325" s="843">
        <v>572240377</v>
      </c>
      <c r="K325" s="843">
        <v>528590987</v>
      </c>
      <c r="L325" s="843">
        <v>379614714</v>
      </c>
      <c r="M325" s="843">
        <v>591526180</v>
      </c>
      <c r="N325" s="843">
        <v>487658896</v>
      </c>
      <c r="O325" s="843">
        <v>439676186</v>
      </c>
      <c r="P325" s="843">
        <v>53221795</v>
      </c>
      <c r="Q325" s="843">
        <v>309456079</v>
      </c>
      <c r="R325" s="1006" t="s">
        <v>109</v>
      </c>
      <c r="S325" s="1007" t="s">
        <v>66</v>
      </c>
      <c r="T325" s="2667" t="s">
        <v>2435</v>
      </c>
      <c r="U325" s="1008">
        <v>1</v>
      </c>
      <c r="V325" s="1009">
        <v>39001</v>
      </c>
      <c r="W325" s="1010" t="s">
        <v>76</v>
      </c>
      <c r="X325" s="4343" t="s">
        <v>358</v>
      </c>
      <c r="Y325" s="999">
        <f t="shared" ca="1" si="17"/>
        <v>11.191666666666666</v>
      </c>
      <c r="Z325" s="79"/>
    </row>
    <row r="326" spans="1:26" ht="14.1" customHeight="1" x14ac:dyDescent="0.2">
      <c r="A326" s="79">
        <v>314</v>
      </c>
      <c r="B326" s="1000" t="s">
        <v>1685</v>
      </c>
      <c r="C326" s="1235" t="s">
        <v>2178</v>
      </c>
      <c r="D326" s="1802" t="s">
        <v>40</v>
      </c>
      <c r="E326" s="2008" t="s">
        <v>2130</v>
      </c>
      <c r="F326" s="3782">
        <f t="shared" si="16"/>
        <v>157.5956137274442</v>
      </c>
      <c r="G326" s="1011">
        <f>164.6+251.1+241.4+358.4+219.9+182.5+346.7+108.7+601.8</f>
        <v>2475.1000000000004</v>
      </c>
      <c r="H326" s="1022"/>
      <c r="I326" s="947">
        <v>122684046</v>
      </c>
      <c r="J326" s="936">
        <v>642708664</v>
      </c>
      <c r="K326" s="936">
        <v>567657316</v>
      </c>
      <c r="L326" s="936">
        <v>377580082</v>
      </c>
      <c r="M326" s="936">
        <v>650462166</v>
      </c>
      <c r="N326" s="936">
        <v>540440368</v>
      </c>
      <c r="O326" s="846">
        <v>448589734</v>
      </c>
      <c r="P326" s="936">
        <v>46214152</v>
      </c>
      <c r="Q326" s="1694">
        <v>272885245</v>
      </c>
      <c r="R326" s="1012" t="s">
        <v>1304</v>
      </c>
      <c r="S326" s="2102" t="s">
        <v>66</v>
      </c>
      <c r="T326" s="2664" t="s">
        <v>2435</v>
      </c>
      <c r="U326" s="1014">
        <v>1</v>
      </c>
      <c r="V326" s="1023">
        <v>42598</v>
      </c>
      <c r="W326" s="1015" t="s">
        <v>71</v>
      </c>
      <c r="X326" s="4348" t="s">
        <v>280</v>
      </c>
      <c r="Y326" s="992">
        <f t="shared" ca="1" si="17"/>
        <v>1.3444444444444446</v>
      </c>
      <c r="Z326" s="79">
        <v>314</v>
      </c>
    </row>
    <row r="327" spans="1:26" ht="14.1" customHeight="1" x14ac:dyDescent="0.2">
      <c r="A327" s="79"/>
      <c r="B327" s="3668" t="s">
        <v>1103</v>
      </c>
      <c r="C327" s="2155" t="s">
        <v>552</v>
      </c>
      <c r="D327" s="3687" t="s">
        <v>40</v>
      </c>
      <c r="E327" s="2602"/>
      <c r="F327" s="3782">
        <f t="shared" si="16"/>
        <v>157.79813485592049</v>
      </c>
      <c r="G327" s="3696">
        <f>137+206+137+210+165+196+217+85+406</f>
        <v>1759</v>
      </c>
      <c r="H327" s="3713">
        <f>53+12+12+72+21+14+21+79+28</f>
        <v>312</v>
      </c>
      <c r="I327" s="2274">
        <v>132001289</v>
      </c>
      <c r="J327" s="781">
        <v>569541795</v>
      </c>
      <c r="K327" s="781">
        <v>526447451</v>
      </c>
      <c r="L327" s="781">
        <v>372198787</v>
      </c>
      <c r="M327" s="781">
        <v>590804948</v>
      </c>
      <c r="N327" s="781">
        <v>487766927</v>
      </c>
      <c r="O327" s="781">
        <v>429356027</v>
      </c>
      <c r="P327" s="781">
        <v>59052142</v>
      </c>
      <c r="Q327" s="781">
        <v>295140549</v>
      </c>
      <c r="R327" s="3735" t="s">
        <v>109</v>
      </c>
      <c r="S327" s="3745" t="s">
        <v>62</v>
      </c>
      <c r="T327" s="3431" t="s">
        <v>2435</v>
      </c>
      <c r="U327" s="3760">
        <v>8</v>
      </c>
      <c r="V327" s="3766">
        <v>39379</v>
      </c>
      <c r="W327" s="3772" t="s">
        <v>76</v>
      </c>
      <c r="X327" s="4351" t="s">
        <v>1512</v>
      </c>
      <c r="Y327" s="2845">
        <f t="shared" ca="1" si="17"/>
        <v>10.155555555555555</v>
      </c>
      <c r="Z327" s="79"/>
    </row>
    <row r="328" spans="1:26" ht="14.1" customHeight="1" x14ac:dyDescent="0.2">
      <c r="A328" s="79">
        <v>316</v>
      </c>
      <c r="B328" s="978" t="s">
        <v>1685</v>
      </c>
      <c r="C328" s="3949" t="s">
        <v>2407</v>
      </c>
      <c r="D328" s="1349" t="s">
        <v>40</v>
      </c>
      <c r="E328" s="2820" t="s">
        <v>2130</v>
      </c>
      <c r="F328" s="3782">
        <f t="shared" si="16"/>
        <v>157.81149744668551</v>
      </c>
      <c r="G328" s="4003">
        <f>708.69+2990.32+2602.94+1494.22+2803.2+2268.13+1860.47+326.61+1155.7</f>
        <v>16210.28</v>
      </c>
      <c r="H328" s="4036"/>
      <c r="I328" s="940">
        <v>135064339</v>
      </c>
      <c r="J328" s="781">
        <v>590182478</v>
      </c>
      <c r="K328" s="781">
        <v>515944143</v>
      </c>
      <c r="L328" s="781">
        <v>341091387</v>
      </c>
      <c r="M328" s="781">
        <v>615190567</v>
      </c>
      <c r="N328" s="781">
        <v>503801787</v>
      </c>
      <c r="O328" s="781">
        <v>380149724</v>
      </c>
      <c r="P328" s="781">
        <v>52594948</v>
      </c>
      <c r="Q328" s="1084">
        <v>267105922</v>
      </c>
      <c r="R328" s="4079" t="s">
        <v>2408</v>
      </c>
      <c r="S328" s="4036" t="s">
        <v>66</v>
      </c>
      <c r="T328" s="4129" t="s">
        <v>2435</v>
      </c>
      <c r="U328" s="4151">
        <v>1</v>
      </c>
      <c r="V328" s="4180">
        <v>41244</v>
      </c>
      <c r="W328" s="4208" t="s">
        <v>76</v>
      </c>
      <c r="X328" s="4352" t="s">
        <v>134</v>
      </c>
      <c r="Y328" s="992">
        <f t="shared" ca="1" si="17"/>
        <v>5.052777777777778</v>
      </c>
      <c r="Z328" s="79">
        <v>316</v>
      </c>
    </row>
    <row r="329" spans="1:26" ht="14.1" customHeight="1" x14ac:dyDescent="0.2">
      <c r="A329" s="79"/>
      <c r="B329" s="1020" t="s">
        <v>1685</v>
      </c>
      <c r="C329" s="1210" t="s">
        <v>2201</v>
      </c>
      <c r="D329" s="1954" t="s">
        <v>40</v>
      </c>
      <c r="E329" s="2007" t="s">
        <v>2130</v>
      </c>
      <c r="F329" s="3782">
        <f t="shared" si="16"/>
        <v>157.8573654070068</v>
      </c>
      <c r="G329" s="1796">
        <f>367.2+355.2+301.9+421.8+556.7+262.5+663.3+281.8+626.6</f>
        <v>3837.0000000000005</v>
      </c>
      <c r="H329" s="1005"/>
      <c r="I329" s="941">
        <v>122325763</v>
      </c>
      <c r="J329" s="939">
        <v>642697158</v>
      </c>
      <c r="K329" s="939">
        <v>567652000</v>
      </c>
      <c r="L329" s="939">
        <v>377051721</v>
      </c>
      <c r="M329" s="939">
        <v>650350043</v>
      </c>
      <c r="N329" s="939">
        <v>540434850</v>
      </c>
      <c r="O329" s="843">
        <v>448458243</v>
      </c>
      <c r="P329" s="939">
        <v>45859841</v>
      </c>
      <c r="Q329" s="1516">
        <v>272057412</v>
      </c>
      <c r="R329" s="1006" t="s">
        <v>1304</v>
      </c>
      <c r="S329" s="2829" t="s">
        <v>66</v>
      </c>
      <c r="T329" s="2671" t="s">
        <v>2435</v>
      </c>
      <c r="U329" s="1008">
        <v>1</v>
      </c>
      <c r="V329" s="1009">
        <v>42616</v>
      </c>
      <c r="W329" s="1010" t="s">
        <v>121</v>
      </c>
      <c r="X329" s="4343" t="s">
        <v>280</v>
      </c>
      <c r="Y329" s="999">
        <f t="shared" ca="1" si="17"/>
        <v>1.2972222222222223</v>
      </c>
      <c r="Z329" s="79"/>
    </row>
    <row r="330" spans="1:26" ht="14.1" customHeight="1" x14ac:dyDescent="0.25">
      <c r="A330" s="79">
        <v>318</v>
      </c>
      <c r="B330" s="1000" t="s">
        <v>1685</v>
      </c>
      <c r="C330" s="1424" t="s">
        <v>1206</v>
      </c>
      <c r="D330" s="1955"/>
      <c r="E330" s="2010" t="s">
        <v>2130</v>
      </c>
      <c r="F330" s="3782">
        <f t="shared" si="16"/>
        <v>157.86981989202326</v>
      </c>
      <c r="G330" s="1021"/>
      <c r="H330" s="1022"/>
      <c r="I330" s="845">
        <v>130274779</v>
      </c>
      <c r="J330" s="846">
        <v>571777004</v>
      </c>
      <c r="K330" s="846">
        <v>533304691</v>
      </c>
      <c r="L330" s="846">
        <v>381302596</v>
      </c>
      <c r="M330" s="846">
        <v>592949451</v>
      </c>
      <c r="N330" s="846">
        <v>489191732</v>
      </c>
      <c r="O330" s="846">
        <v>451733892</v>
      </c>
      <c r="P330" s="846">
        <v>52894607</v>
      </c>
      <c r="Q330" s="846">
        <v>312359898</v>
      </c>
      <c r="R330" s="1856" t="s">
        <v>300</v>
      </c>
      <c r="S330" s="3269" t="s">
        <v>131</v>
      </c>
      <c r="T330" s="2673" t="s">
        <v>2435</v>
      </c>
      <c r="U330" s="2333">
        <v>1</v>
      </c>
      <c r="V330" s="2538">
        <v>35457</v>
      </c>
      <c r="W330" s="4209" t="s">
        <v>301</v>
      </c>
      <c r="X330" s="4353" t="s">
        <v>1404</v>
      </c>
      <c r="Y330" s="992">
        <f t="shared" ca="1" si="17"/>
        <v>20.897222222222222</v>
      </c>
      <c r="Z330" s="79">
        <v>318</v>
      </c>
    </row>
    <row r="331" spans="1:26" ht="14.1" customHeight="1" x14ac:dyDescent="0.2">
      <c r="A331" s="79"/>
      <c r="B331" s="2225" t="s">
        <v>1685</v>
      </c>
      <c r="C331" s="1206" t="s">
        <v>2122</v>
      </c>
      <c r="D331" s="1349" t="s">
        <v>40</v>
      </c>
      <c r="E331" s="2009" t="s">
        <v>2130</v>
      </c>
      <c r="F331" s="3782">
        <f t="shared" si="16"/>
        <v>157.99239718871684</v>
      </c>
      <c r="G331" s="1029">
        <f>207.6+103.9+138.5+352.4+140.6+128.3+286.6+147.7+577.9</f>
        <v>2083.5</v>
      </c>
      <c r="H331" s="995"/>
      <c r="I331" s="944">
        <v>121726590</v>
      </c>
      <c r="J331" s="808">
        <v>599083825</v>
      </c>
      <c r="K331" s="808">
        <v>552911165</v>
      </c>
      <c r="L331" s="808">
        <v>381857667</v>
      </c>
      <c r="M331" s="808">
        <v>586379257</v>
      </c>
      <c r="N331" s="808">
        <v>488526073</v>
      </c>
      <c r="O331" s="781">
        <v>489328189</v>
      </c>
      <c r="P331" s="808">
        <v>48174535</v>
      </c>
      <c r="Q331" s="902">
        <v>306769371</v>
      </c>
      <c r="R331" s="996" t="s">
        <v>1995</v>
      </c>
      <c r="S331" s="2696" t="s">
        <v>62</v>
      </c>
      <c r="T331" s="2670" t="s">
        <v>2435</v>
      </c>
      <c r="U331" s="2700">
        <v>8</v>
      </c>
      <c r="V331" s="1003">
        <v>42374</v>
      </c>
      <c r="W331" s="998" t="s">
        <v>156</v>
      </c>
      <c r="X331" s="4342" t="s">
        <v>280</v>
      </c>
      <c r="Y331" s="999">
        <f t="shared" ca="1" si="17"/>
        <v>1.9583333333333333</v>
      </c>
      <c r="Z331" s="79"/>
    </row>
    <row r="332" spans="1:26" ht="14.1" customHeight="1" x14ac:dyDescent="0.25">
      <c r="A332" s="79">
        <v>320</v>
      </c>
      <c r="B332" s="978" t="s">
        <v>1685</v>
      </c>
      <c r="C332" s="1206" t="s">
        <v>295</v>
      </c>
      <c r="D332" s="1940"/>
      <c r="E332" s="2010"/>
      <c r="F332" s="3782">
        <f t="shared" si="16"/>
        <v>158.21453596518586</v>
      </c>
      <c r="G332" s="994"/>
      <c r="H332" s="995"/>
      <c r="I332" s="944">
        <v>132402103</v>
      </c>
      <c r="J332" s="808">
        <v>570736865</v>
      </c>
      <c r="K332" s="808">
        <v>540336003</v>
      </c>
      <c r="L332" s="808">
        <v>395545157</v>
      </c>
      <c r="M332" s="808">
        <v>606556827</v>
      </c>
      <c r="N332" s="808">
        <v>492153779</v>
      </c>
      <c r="O332" s="781">
        <v>372489875</v>
      </c>
      <c r="P332" s="808">
        <v>55429853</v>
      </c>
      <c r="Q332" s="808">
        <v>328978899</v>
      </c>
      <c r="R332" s="996" t="s">
        <v>296</v>
      </c>
      <c r="S332" s="1001" t="s">
        <v>66</v>
      </c>
      <c r="T332" s="2663" t="s">
        <v>2435</v>
      </c>
      <c r="U332" s="1002">
        <v>1</v>
      </c>
      <c r="V332" s="1003">
        <v>36533</v>
      </c>
      <c r="W332" s="998" t="s">
        <v>297</v>
      </c>
      <c r="X332" s="4342" t="s">
        <v>641</v>
      </c>
      <c r="Y332" s="992">
        <f t="shared" ca="1" si="17"/>
        <v>17.95</v>
      </c>
      <c r="Z332" s="79">
        <v>320</v>
      </c>
    </row>
    <row r="333" spans="1:26" ht="14.1" customHeight="1" x14ac:dyDescent="0.2">
      <c r="A333" s="79"/>
      <c r="B333" s="131" t="s">
        <v>1685</v>
      </c>
      <c r="C333" s="2816" t="s">
        <v>702</v>
      </c>
      <c r="D333" s="1954" t="s">
        <v>40</v>
      </c>
      <c r="E333" s="2009" t="s">
        <v>2130</v>
      </c>
      <c r="F333" s="3782">
        <f t="shared" ref="F333:F396" si="18">SUM(I333/I$11,J333/J$11,K333/K$11,L333/L$11,M333/M$11,N333/N$11,O333/O$11,P333/P$11,Q333/Q$11)/9*100+(G333/5000)+(IF(H333 = 0,G333,H333)/5000)</f>
        <v>158.23683853472917</v>
      </c>
      <c r="G333" s="2317"/>
      <c r="H333" s="2282"/>
      <c r="I333" s="853">
        <v>139934909</v>
      </c>
      <c r="J333" s="843">
        <v>615267423</v>
      </c>
      <c r="K333" s="843">
        <v>579881609</v>
      </c>
      <c r="L333" s="843">
        <v>361537993</v>
      </c>
      <c r="M333" s="843">
        <v>612353606</v>
      </c>
      <c r="N333" s="843">
        <v>505371128</v>
      </c>
      <c r="O333" s="843">
        <v>398732637</v>
      </c>
      <c r="P333" s="843">
        <v>53963377</v>
      </c>
      <c r="Q333" s="843">
        <v>287274234</v>
      </c>
      <c r="R333" s="1030" t="s">
        <v>701</v>
      </c>
      <c r="S333" s="2319" t="s">
        <v>131</v>
      </c>
      <c r="T333" s="2666" t="s">
        <v>2435</v>
      </c>
      <c r="U333" s="1031">
        <v>1</v>
      </c>
      <c r="V333" s="1034">
        <v>36990</v>
      </c>
      <c r="W333" s="3243" t="s">
        <v>106</v>
      </c>
      <c r="X333" s="4354" t="s">
        <v>700</v>
      </c>
      <c r="Y333" s="999">
        <f t="shared" ca="1" si="17"/>
        <v>16.697222222222223</v>
      </c>
      <c r="Z333" s="79"/>
    </row>
    <row r="334" spans="1:26" ht="14.1" customHeight="1" x14ac:dyDescent="0.25">
      <c r="A334" s="79">
        <v>322</v>
      </c>
      <c r="B334" s="1033" t="s">
        <v>1103</v>
      </c>
      <c r="C334" s="1235" t="s">
        <v>621</v>
      </c>
      <c r="D334" s="1956"/>
      <c r="E334" s="2010"/>
      <c r="F334" s="3782">
        <f t="shared" si="18"/>
        <v>158.26983818349782</v>
      </c>
      <c r="G334" s="1011">
        <f>95+74+0+123+43+28+168+64+10</f>
        <v>605</v>
      </c>
      <c r="H334" s="1022"/>
      <c r="I334" s="947">
        <v>146374158</v>
      </c>
      <c r="J334" s="936">
        <v>571482712</v>
      </c>
      <c r="K334" s="936">
        <v>534592994</v>
      </c>
      <c r="L334" s="4057">
        <v>352644412</v>
      </c>
      <c r="M334" s="936">
        <v>592017480</v>
      </c>
      <c r="N334" s="4057">
        <v>489970179</v>
      </c>
      <c r="O334" s="846">
        <v>456583402</v>
      </c>
      <c r="P334" s="936">
        <v>60686389</v>
      </c>
      <c r="Q334" s="936">
        <v>257318245</v>
      </c>
      <c r="R334" s="1012" t="s">
        <v>548</v>
      </c>
      <c r="S334" s="1013" t="s">
        <v>66</v>
      </c>
      <c r="T334" s="2662" t="s">
        <v>2435</v>
      </c>
      <c r="U334" s="1014">
        <v>1</v>
      </c>
      <c r="V334" s="2841">
        <v>40458</v>
      </c>
      <c r="W334" s="1015" t="s">
        <v>328</v>
      </c>
      <c r="X334" s="4348" t="s">
        <v>314</v>
      </c>
      <c r="Y334" s="992">
        <f t="shared" ca="1" si="17"/>
        <v>7.2027777777777775</v>
      </c>
      <c r="Z334" s="79">
        <v>322</v>
      </c>
    </row>
    <row r="335" spans="1:26" ht="14.1" customHeight="1" x14ac:dyDescent="0.2">
      <c r="A335" s="79"/>
      <c r="B335" s="133" t="s">
        <v>1685</v>
      </c>
      <c r="C335" s="1206" t="s">
        <v>2218</v>
      </c>
      <c r="D335" s="1349" t="s">
        <v>40</v>
      </c>
      <c r="E335" s="2009" t="s">
        <v>2130</v>
      </c>
      <c r="F335" s="3782">
        <f t="shared" si="18"/>
        <v>158.27792520179685</v>
      </c>
      <c r="G335" s="1029">
        <f>600.5+455.7+444.2+712.4+491.1+274.1+877.1+353.7+1073.5</f>
        <v>5282.3</v>
      </c>
      <c r="H335" s="995"/>
      <c r="I335" s="944">
        <v>122296522</v>
      </c>
      <c r="J335" s="808">
        <v>642696231</v>
      </c>
      <c r="K335" s="808">
        <v>567622491</v>
      </c>
      <c r="L335" s="808">
        <v>376234800</v>
      </c>
      <c r="M335" s="808">
        <v>650352695</v>
      </c>
      <c r="N335" s="808">
        <v>540432611</v>
      </c>
      <c r="O335" s="781">
        <v>448315227</v>
      </c>
      <c r="P335" s="808">
        <v>45825558</v>
      </c>
      <c r="Q335" s="902">
        <v>270792204</v>
      </c>
      <c r="R335" s="996" t="s">
        <v>1304</v>
      </c>
      <c r="S335" s="1525" t="s">
        <v>66</v>
      </c>
      <c r="T335" s="2670" t="s">
        <v>2435</v>
      </c>
      <c r="U335" s="1002">
        <v>1</v>
      </c>
      <c r="V335" s="1003">
        <v>42634</v>
      </c>
      <c r="W335" s="998" t="s">
        <v>121</v>
      </c>
      <c r="X335" s="4342" t="s">
        <v>280</v>
      </c>
      <c r="Y335" s="999">
        <f t="shared" ca="1" si="17"/>
        <v>1.2472222222222222</v>
      </c>
      <c r="Z335" s="79"/>
    </row>
    <row r="336" spans="1:26" ht="14.1" customHeight="1" x14ac:dyDescent="0.25">
      <c r="A336" s="79">
        <v>324</v>
      </c>
      <c r="B336" s="133" t="s">
        <v>1685</v>
      </c>
      <c r="C336" s="1207" t="s">
        <v>1285</v>
      </c>
      <c r="D336" s="1678"/>
      <c r="E336" s="2008" t="s">
        <v>2130</v>
      </c>
      <c r="F336" s="3782">
        <f t="shared" si="18"/>
        <v>158.3427080011291</v>
      </c>
      <c r="G336" s="1029">
        <f>17.58+46.31+51.89+57.89+41.29+33.31+53.5+8.18+68.18</f>
        <v>378.13</v>
      </c>
      <c r="H336" s="995"/>
      <c r="I336" s="940">
        <v>130410172</v>
      </c>
      <c r="J336" s="808">
        <v>573707768</v>
      </c>
      <c r="K336" s="781">
        <v>531625004</v>
      </c>
      <c r="L336" s="781">
        <v>383539272</v>
      </c>
      <c r="M336" s="781">
        <v>594807932</v>
      </c>
      <c r="N336" s="781">
        <v>490609868</v>
      </c>
      <c r="O336" s="781">
        <v>445656548</v>
      </c>
      <c r="P336" s="781">
        <v>53470440</v>
      </c>
      <c r="Q336" s="781">
        <v>314314436</v>
      </c>
      <c r="R336" s="988" t="s">
        <v>284</v>
      </c>
      <c r="S336" s="989" t="s">
        <v>66</v>
      </c>
      <c r="T336" s="2665" t="s">
        <v>2435</v>
      </c>
      <c r="U336" s="1019">
        <v>1</v>
      </c>
      <c r="V336" s="990">
        <v>39317</v>
      </c>
      <c r="W336" s="991" t="s">
        <v>285</v>
      </c>
      <c r="X336" s="4345" t="s">
        <v>280</v>
      </c>
      <c r="Y336" s="992">
        <f t="shared" ca="1" si="17"/>
        <v>10.324999999999999</v>
      </c>
      <c r="Z336" s="79">
        <v>324</v>
      </c>
    </row>
    <row r="337" spans="1:26" ht="14.1" customHeight="1" x14ac:dyDescent="0.25">
      <c r="A337" s="79"/>
      <c r="B337" s="1020" t="s">
        <v>1685</v>
      </c>
      <c r="C337" s="2360" t="s">
        <v>1571</v>
      </c>
      <c r="D337" s="2604"/>
      <c r="E337" s="2009" t="s">
        <v>2130</v>
      </c>
      <c r="F337" s="3782">
        <f t="shared" si="18"/>
        <v>158.39182719340806</v>
      </c>
      <c r="G337" s="2368">
        <f>5.9+15.9+13.9+19.7+15.5+12.5+18.3+3.8+23.9</f>
        <v>129.4</v>
      </c>
      <c r="H337" s="4049"/>
      <c r="I337" s="853">
        <v>135206431</v>
      </c>
      <c r="J337" s="939">
        <v>572586498</v>
      </c>
      <c r="K337" s="843">
        <v>529204055</v>
      </c>
      <c r="L337" s="843">
        <v>378973030</v>
      </c>
      <c r="M337" s="843">
        <v>592626804</v>
      </c>
      <c r="N337" s="843">
        <v>488461447</v>
      </c>
      <c r="O337" s="843">
        <v>446234714</v>
      </c>
      <c r="P337" s="843">
        <v>53575579</v>
      </c>
      <c r="Q337" s="843">
        <v>310462784</v>
      </c>
      <c r="R337" s="1030" t="s">
        <v>1570</v>
      </c>
      <c r="S337" s="2319" t="s">
        <v>66</v>
      </c>
      <c r="T337" s="2666" t="s">
        <v>2435</v>
      </c>
      <c r="U337" s="3887">
        <v>8</v>
      </c>
      <c r="V337" s="1034">
        <v>40875</v>
      </c>
      <c r="W337" s="1032" t="s">
        <v>181</v>
      </c>
      <c r="X337" s="4347" t="s">
        <v>1515</v>
      </c>
      <c r="Y337" s="999">
        <f t="shared" ca="1" si="17"/>
        <v>6.0611111111111109</v>
      </c>
      <c r="Z337" s="79"/>
    </row>
    <row r="338" spans="1:26" ht="14.1" customHeight="1" x14ac:dyDescent="0.2">
      <c r="A338" s="79">
        <v>326</v>
      </c>
      <c r="B338" s="129" t="s">
        <v>1685</v>
      </c>
      <c r="C338" s="1429" t="s">
        <v>1090</v>
      </c>
      <c r="D338" s="1802" t="s">
        <v>40</v>
      </c>
      <c r="E338" s="2008" t="s">
        <v>2130</v>
      </c>
      <c r="F338" s="3782">
        <f t="shared" si="18"/>
        <v>158.50440966878185</v>
      </c>
      <c r="G338" s="2136">
        <f>176+744+651+395+622+516+480+86+402</f>
        <v>4072</v>
      </c>
      <c r="H338" s="2158"/>
      <c r="I338" s="947">
        <v>150595241</v>
      </c>
      <c r="J338" s="936">
        <v>589439845</v>
      </c>
      <c r="K338" s="936">
        <v>515649453</v>
      </c>
      <c r="L338" s="936">
        <v>348535101</v>
      </c>
      <c r="M338" s="936">
        <v>603070573</v>
      </c>
      <c r="N338" s="936">
        <v>492959669</v>
      </c>
      <c r="O338" s="846">
        <v>377805449</v>
      </c>
      <c r="P338" s="936">
        <v>59089449</v>
      </c>
      <c r="Q338" s="936">
        <v>280170313</v>
      </c>
      <c r="R338" s="3267" t="s">
        <v>1091</v>
      </c>
      <c r="S338" s="4105" t="s">
        <v>62</v>
      </c>
      <c r="T338" s="2674" t="s">
        <v>2435</v>
      </c>
      <c r="U338" s="3274">
        <v>1</v>
      </c>
      <c r="V338" s="3276">
        <v>40890</v>
      </c>
      <c r="W338" s="3277" t="s">
        <v>417</v>
      </c>
      <c r="X338" s="4344" t="s">
        <v>2019</v>
      </c>
      <c r="Y338" s="992">
        <f t="shared" ca="1" si="17"/>
        <v>6.0194444444444448</v>
      </c>
      <c r="Z338" s="79">
        <v>326</v>
      </c>
    </row>
    <row r="339" spans="1:26" ht="14.1" customHeight="1" x14ac:dyDescent="0.25">
      <c r="A339" s="79"/>
      <c r="B339" s="1020" t="s">
        <v>1685</v>
      </c>
      <c r="C339" s="1207" t="s">
        <v>1567</v>
      </c>
      <c r="D339" s="3258"/>
      <c r="E339" s="2823" t="s">
        <v>2130</v>
      </c>
      <c r="F339" s="3782">
        <f t="shared" si="18"/>
        <v>158.63270217085389</v>
      </c>
      <c r="G339" s="3261">
        <f>7.6+9.8+9.3+11.64+12.47+4.15+2.36+21.9+5.8</f>
        <v>85.02</v>
      </c>
      <c r="H339" s="3265"/>
      <c r="I339" s="944">
        <v>135038527</v>
      </c>
      <c r="J339" s="808">
        <v>577990939</v>
      </c>
      <c r="K339" s="808">
        <v>530857663</v>
      </c>
      <c r="L339" s="808">
        <v>379106650</v>
      </c>
      <c r="M339" s="808">
        <v>592643328</v>
      </c>
      <c r="N339" s="808">
        <v>488510967</v>
      </c>
      <c r="O339" s="781">
        <v>448643543</v>
      </c>
      <c r="P339" s="808">
        <v>53499232</v>
      </c>
      <c r="Q339" s="808">
        <v>310273811</v>
      </c>
      <c r="R339" s="988" t="s">
        <v>1570</v>
      </c>
      <c r="S339" s="989" t="s">
        <v>66</v>
      </c>
      <c r="T339" s="2665" t="s">
        <v>2435</v>
      </c>
      <c r="U339" s="2698">
        <v>8</v>
      </c>
      <c r="V339" s="990">
        <v>40875</v>
      </c>
      <c r="W339" s="991" t="s">
        <v>181</v>
      </c>
      <c r="X339" s="4345" t="s">
        <v>1515</v>
      </c>
      <c r="Y339" s="999">
        <f t="shared" ca="1" si="17"/>
        <v>6.0611111111111109</v>
      </c>
      <c r="Z339" s="79"/>
    </row>
    <row r="340" spans="1:26" ht="14.1" customHeight="1" x14ac:dyDescent="0.25">
      <c r="A340" s="79">
        <v>328</v>
      </c>
      <c r="B340" s="985" t="s">
        <v>1103</v>
      </c>
      <c r="C340" s="1206" t="s">
        <v>2131</v>
      </c>
      <c r="D340" s="1938"/>
      <c r="E340" s="2010"/>
      <c r="F340" s="3782">
        <f t="shared" si="18"/>
        <v>158.97337784277823</v>
      </c>
      <c r="G340" s="994"/>
      <c r="H340" s="995"/>
      <c r="I340" s="940">
        <v>134962165</v>
      </c>
      <c r="J340" s="808">
        <v>570013535</v>
      </c>
      <c r="K340" s="808">
        <v>529655066</v>
      </c>
      <c r="L340" s="808">
        <v>380440699</v>
      </c>
      <c r="M340" s="808">
        <v>590811778</v>
      </c>
      <c r="N340" s="808">
        <v>488247614</v>
      </c>
      <c r="O340" s="781">
        <v>438803257</v>
      </c>
      <c r="P340" s="808">
        <v>59659758</v>
      </c>
      <c r="Q340" s="808">
        <v>295590011</v>
      </c>
      <c r="R340" s="996" t="s">
        <v>109</v>
      </c>
      <c r="S340" s="2696" t="s">
        <v>62</v>
      </c>
      <c r="T340" s="2670" t="s">
        <v>2435</v>
      </c>
      <c r="U340" s="2700">
        <v>8</v>
      </c>
      <c r="V340" s="997">
        <v>39379</v>
      </c>
      <c r="W340" s="998" t="s">
        <v>76</v>
      </c>
      <c r="X340" s="4342" t="s">
        <v>1512</v>
      </c>
      <c r="Y340" s="992">
        <f t="shared" ca="1" si="17"/>
        <v>10.155555555555555</v>
      </c>
      <c r="Z340" s="79">
        <v>328</v>
      </c>
    </row>
    <row r="341" spans="1:26" ht="14.1" customHeight="1" x14ac:dyDescent="0.2">
      <c r="A341" s="79"/>
      <c r="B341" s="1020" t="s">
        <v>1685</v>
      </c>
      <c r="C341" s="3676" t="s">
        <v>1286</v>
      </c>
      <c r="D341" s="1954" t="s">
        <v>40</v>
      </c>
      <c r="E341" s="2009" t="s">
        <v>2130</v>
      </c>
      <c r="F341" s="3782">
        <f t="shared" si="18"/>
        <v>159.21610765647276</v>
      </c>
      <c r="G341" s="1004"/>
      <c r="H341" s="1005"/>
      <c r="I341" s="853">
        <v>130006531</v>
      </c>
      <c r="J341" s="939">
        <v>584810626</v>
      </c>
      <c r="K341" s="843">
        <v>523804497</v>
      </c>
      <c r="L341" s="843">
        <v>402704755</v>
      </c>
      <c r="M341" s="843">
        <v>588579801</v>
      </c>
      <c r="N341" s="843">
        <v>490630093</v>
      </c>
      <c r="O341" s="843">
        <v>456991600</v>
      </c>
      <c r="P341" s="843">
        <v>47307974</v>
      </c>
      <c r="Q341" s="843">
        <v>340024951</v>
      </c>
      <c r="R341" s="1006" t="s">
        <v>165</v>
      </c>
      <c r="S341" s="1007" t="s">
        <v>66</v>
      </c>
      <c r="T341" s="2671" t="s">
        <v>2435</v>
      </c>
      <c r="U341" s="1008">
        <v>1</v>
      </c>
      <c r="V341" s="1009">
        <v>39188</v>
      </c>
      <c r="W341" s="1010" t="s">
        <v>2215</v>
      </c>
      <c r="X341" s="4343" t="s">
        <v>251</v>
      </c>
      <c r="Y341" s="999">
        <f t="shared" ca="1" si="17"/>
        <v>10.677777777777777</v>
      </c>
      <c r="Z341" s="79"/>
    </row>
    <row r="342" spans="1:26" ht="14.1" customHeight="1" x14ac:dyDescent="0.25">
      <c r="A342" s="79">
        <v>330</v>
      </c>
      <c r="B342" s="1033" t="s">
        <v>1103</v>
      </c>
      <c r="C342" s="3396" t="s">
        <v>325</v>
      </c>
      <c r="D342" s="1956"/>
      <c r="E342" s="2010"/>
      <c r="F342" s="3782">
        <f t="shared" si="18"/>
        <v>159.38850298310226</v>
      </c>
      <c r="G342" s="1021"/>
      <c r="H342" s="1022"/>
      <c r="I342" s="947">
        <v>128549872</v>
      </c>
      <c r="J342" s="936">
        <v>579535798</v>
      </c>
      <c r="K342" s="936">
        <v>532862775</v>
      </c>
      <c r="L342" s="936">
        <v>385353967</v>
      </c>
      <c r="M342" s="936">
        <v>591561807</v>
      </c>
      <c r="N342" s="936">
        <v>489162147</v>
      </c>
      <c r="O342" s="846">
        <v>477180230</v>
      </c>
      <c r="P342" s="936">
        <v>53769745</v>
      </c>
      <c r="Q342" s="936">
        <v>312661434</v>
      </c>
      <c r="R342" s="1012" t="s">
        <v>122</v>
      </c>
      <c r="S342" s="1013" t="s">
        <v>131</v>
      </c>
      <c r="T342" s="2664" t="s">
        <v>2435</v>
      </c>
      <c r="U342" s="1014">
        <v>1</v>
      </c>
      <c r="V342" s="1023">
        <v>35007</v>
      </c>
      <c r="W342" s="1015" t="s">
        <v>71</v>
      </c>
      <c r="X342" s="4348" t="s">
        <v>691</v>
      </c>
      <c r="Y342" s="992">
        <f t="shared" ca="1" si="17"/>
        <v>22.127777777777776</v>
      </c>
      <c r="Z342" s="79">
        <v>330</v>
      </c>
    </row>
    <row r="343" spans="1:26" ht="14.1" customHeight="1" x14ac:dyDescent="0.2">
      <c r="A343" s="79"/>
      <c r="B343" s="978" t="s">
        <v>1685</v>
      </c>
      <c r="C343" s="3398" t="s">
        <v>655</v>
      </c>
      <c r="D343" s="1349" t="s">
        <v>40</v>
      </c>
      <c r="E343" s="2009"/>
      <c r="F343" s="3782">
        <f t="shared" si="18"/>
        <v>159.40171870487242</v>
      </c>
      <c r="G343" s="1029">
        <f>3778+1772+1406+1190+2166+1697+923+5260+671</f>
        <v>18863</v>
      </c>
      <c r="H343" s="995"/>
      <c r="I343" s="940">
        <v>132361955</v>
      </c>
      <c r="J343" s="781">
        <v>569599932</v>
      </c>
      <c r="K343" s="781">
        <v>511972375</v>
      </c>
      <c r="L343" s="781">
        <v>341904923</v>
      </c>
      <c r="M343" s="781">
        <v>596833844</v>
      </c>
      <c r="N343" s="781">
        <v>490312383</v>
      </c>
      <c r="O343" s="781">
        <v>398305266</v>
      </c>
      <c r="P343" s="781">
        <v>55378737</v>
      </c>
      <c r="Q343" s="781">
        <v>275873372</v>
      </c>
      <c r="R343" s="996" t="s">
        <v>283</v>
      </c>
      <c r="S343" s="1001" t="s">
        <v>66</v>
      </c>
      <c r="T343" s="2670" t="s">
        <v>2435</v>
      </c>
      <c r="U343" s="1002">
        <v>1</v>
      </c>
      <c r="V343" s="997">
        <v>34711</v>
      </c>
      <c r="W343" s="998" t="s">
        <v>69</v>
      </c>
      <c r="X343" s="4342" t="s">
        <v>1517</v>
      </c>
      <c r="Y343" s="1848">
        <f t="shared" ca="1" si="17"/>
        <v>22.93888888888889</v>
      </c>
      <c r="Z343" s="79"/>
    </row>
    <row r="344" spans="1:26" ht="14.1" customHeight="1" x14ac:dyDescent="0.2">
      <c r="A344" s="79">
        <v>332</v>
      </c>
      <c r="B344" s="978" t="s">
        <v>1685</v>
      </c>
      <c r="C344" s="2149" t="s">
        <v>2124</v>
      </c>
      <c r="D344" s="1349" t="s">
        <v>40</v>
      </c>
      <c r="E344" s="2008" t="s">
        <v>2130</v>
      </c>
      <c r="F344" s="3782">
        <f t="shared" si="18"/>
        <v>159.51063938400497</v>
      </c>
      <c r="G344" s="1029">
        <f>9+27+27+35+25+21+31+7+44</f>
        <v>226</v>
      </c>
      <c r="H344" s="995"/>
      <c r="I344" s="944">
        <v>130402316</v>
      </c>
      <c r="J344" s="808">
        <v>578082993</v>
      </c>
      <c r="K344" s="808">
        <v>535577937</v>
      </c>
      <c r="L344" s="808">
        <v>389709200</v>
      </c>
      <c r="M344" s="808">
        <v>595932399</v>
      </c>
      <c r="N344" s="808">
        <v>491955737</v>
      </c>
      <c r="O344" s="781">
        <v>454628422</v>
      </c>
      <c r="P344" s="808">
        <v>52832585</v>
      </c>
      <c r="Q344" s="902">
        <v>320973139</v>
      </c>
      <c r="R344" s="996" t="s">
        <v>2123</v>
      </c>
      <c r="S344" s="1525" t="s">
        <v>66</v>
      </c>
      <c r="T344" s="2670" t="s">
        <v>2435</v>
      </c>
      <c r="U344" s="1002">
        <v>1</v>
      </c>
      <c r="V344" s="1003">
        <v>42540</v>
      </c>
      <c r="W344" s="998" t="s">
        <v>76</v>
      </c>
      <c r="X344" s="4342" t="s">
        <v>1797</v>
      </c>
      <c r="Y344" s="992">
        <f t="shared" ca="1" si="17"/>
        <v>1.5027777777777778</v>
      </c>
      <c r="Z344" s="79">
        <v>332</v>
      </c>
    </row>
    <row r="345" spans="1:26" ht="14.1" customHeight="1" x14ac:dyDescent="0.2">
      <c r="A345" s="79"/>
      <c r="B345" s="1020" t="s">
        <v>1685</v>
      </c>
      <c r="C345" s="2817" t="s">
        <v>2255</v>
      </c>
      <c r="D345" s="1954" t="s">
        <v>40</v>
      </c>
      <c r="E345" s="2009" t="s">
        <v>2130</v>
      </c>
      <c r="F345" s="3782">
        <f t="shared" si="18"/>
        <v>159.56383938400498</v>
      </c>
      <c r="G345" s="1796">
        <f>13+20+73+71+44+17+23+8+90</f>
        <v>359</v>
      </c>
      <c r="H345" s="1005"/>
      <c r="I345" s="853">
        <v>130402316</v>
      </c>
      <c r="J345" s="843">
        <v>578082993</v>
      </c>
      <c r="K345" s="843">
        <v>535577937</v>
      </c>
      <c r="L345" s="843">
        <v>389709200</v>
      </c>
      <c r="M345" s="843">
        <v>595932399</v>
      </c>
      <c r="N345" s="843">
        <v>491955737</v>
      </c>
      <c r="O345" s="843">
        <v>454628422</v>
      </c>
      <c r="P345" s="843">
        <v>52832585</v>
      </c>
      <c r="Q345" s="843">
        <v>320973139</v>
      </c>
      <c r="R345" s="1006" t="s">
        <v>2123</v>
      </c>
      <c r="S345" s="1007" t="s">
        <v>66</v>
      </c>
      <c r="T345" s="2671" t="s">
        <v>2435</v>
      </c>
      <c r="U345" s="1008">
        <v>1</v>
      </c>
      <c r="V345" s="1009">
        <v>42802</v>
      </c>
      <c r="W345" s="1010" t="s">
        <v>76</v>
      </c>
      <c r="X345" s="4343" t="s">
        <v>1797</v>
      </c>
      <c r="Y345" s="999">
        <f t="shared" ca="1" si="17"/>
        <v>0.78333333333333333</v>
      </c>
      <c r="Z345" s="79"/>
    </row>
    <row r="346" spans="1:26" ht="14.1" customHeight="1" x14ac:dyDescent="0.2">
      <c r="A346" s="79">
        <v>334</v>
      </c>
      <c r="B346" s="987" t="s">
        <v>1685</v>
      </c>
      <c r="C346" s="1427" t="s">
        <v>1643</v>
      </c>
      <c r="D346" s="1802" t="s">
        <v>40</v>
      </c>
      <c r="E346" s="2008" t="s">
        <v>2130</v>
      </c>
      <c r="F346" s="3782">
        <f t="shared" si="18"/>
        <v>159.59132745965317</v>
      </c>
      <c r="G346" s="1011">
        <f>42+0+0+75+32+26+61+22+114</f>
        <v>372</v>
      </c>
      <c r="H346" s="2102">
        <f>3.4+5.8+5.3+8.2+4.9+4.6+9+1.7+10.9</f>
        <v>53.800000000000004</v>
      </c>
      <c r="I346" s="846">
        <v>134298028</v>
      </c>
      <c r="J346" s="936">
        <v>571864393</v>
      </c>
      <c r="K346" s="936">
        <v>533079977</v>
      </c>
      <c r="L346" s="936">
        <v>387558733</v>
      </c>
      <c r="M346" s="936">
        <v>591772244</v>
      </c>
      <c r="N346" s="936">
        <v>488128103</v>
      </c>
      <c r="O346" s="846">
        <v>454798979</v>
      </c>
      <c r="P346" s="936">
        <v>55162675</v>
      </c>
      <c r="Q346" s="936">
        <v>310090294</v>
      </c>
      <c r="R346" s="1856" t="s">
        <v>302</v>
      </c>
      <c r="S346" s="3269" t="s">
        <v>66</v>
      </c>
      <c r="T346" s="2676" t="s">
        <v>2435</v>
      </c>
      <c r="U346" s="2333">
        <v>1</v>
      </c>
      <c r="V346" s="4181">
        <v>39370</v>
      </c>
      <c r="W346" s="1836" t="s">
        <v>181</v>
      </c>
      <c r="X346" s="4353" t="s">
        <v>1403</v>
      </c>
      <c r="Y346" s="992">
        <f t="shared" ca="1" si="17"/>
        <v>10.180555555555555</v>
      </c>
      <c r="Z346" s="79">
        <v>334</v>
      </c>
    </row>
    <row r="347" spans="1:26" ht="14.1" customHeight="1" x14ac:dyDescent="0.25">
      <c r="A347" s="79"/>
      <c r="B347" s="133" t="s">
        <v>1685</v>
      </c>
      <c r="C347" s="1209" t="s">
        <v>716</v>
      </c>
      <c r="D347" s="1678"/>
      <c r="E347" s="2009"/>
      <c r="F347" s="3782">
        <f t="shared" si="18"/>
        <v>159.68557552859576</v>
      </c>
      <c r="G347" s="1016"/>
      <c r="H347" s="1017"/>
      <c r="I347" s="944">
        <v>132442344</v>
      </c>
      <c r="J347" s="808">
        <v>575588176</v>
      </c>
      <c r="K347" s="808">
        <v>533710071</v>
      </c>
      <c r="L347" s="808">
        <v>385054868</v>
      </c>
      <c r="M347" s="808">
        <v>591628398</v>
      </c>
      <c r="N347" s="808">
        <v>488624070</v>
      </c>
      <c r="O347" s="781">
        <v>455451053</v>
      </c>
      <c r="P347" s="808">
        <v>54183882</v>
      </c>
      <c r="Q347" s="808">
        <v>319852021</v>
      </c>
      <c r="R347" s="988" t="s">
        <v>715</v>
      </c>
      <c r="S347" s="1018" t="s">
        <v>131</v>
      </c>
      <c r="T347" s="2669" t="s">
        <v>2435</v>
      </c>
      <c r="U347" s="1019">
        <v>1</v>
      </c>
      <c r="V347" s="990">
        <v>35620</v>
      </c>
      <c r="W347" s="991" t="s">
        <v>181</v>
      </c>
      <c r="X347" s="4355" t="s">
        <v>106</v>
      </c>
      <c r="Y347" s="999">
        <f t="shared" ca="1" si="17"/>
        <v>20.447222222222223</v>
      </c>
      <c r="Z347" s="79"/>
    </row>
    <row r="348" spans="1:26" ht="14.1" customHeight="1" x14ac:dyDescent="0.2">
      <c r="A348" s="79">
        <v>336</v>
      </c>
      <c r="B348" s="1033" t="s">
        <v>1103</v>
      </c>
      <c r="C348" s="1424" t="s">
        <v>1644</v>
      </c>
      <c r="D348" s="1802" t="s">
        <v>40</v>
      </c>
      <c r="E348" s="2008"/>
      <c r="F348" s="3782">
        <f t="shared" si="18"/>
        <v>159.72329137453889</v>
      </c>
      <c r="G348" s="1021"/>
      <c r="H348" s="1022"/>
      <c r="I348" s="947">
        <v>132442344</v>
      </c>
      <c r="J348" s="936">
        <v>575587061</v>
      </c>
      <c r="K348" s="936">
        <v>533684449</v>
      </c>
      <c r="L348" s="936">
        <v>386155781</v>
      </c>
      <c r="M348" s="936">
        <v>591637934</v>
      </c>
      <c r="N348" s="936">
        <v>488620590</v>
      </c>
      <c r="O348" s="846">
        <v>455389159</v>
      </c>
      <c r="P348" s="936">
        <v>54169917</v>
      </c>
      <c r="Q348" s="936">
        <v>319850718</v>
      </c>
      <c r="R348" s="1012" t="s">
        <v>319</v>
      </c>
      <c r="S348" s="1013" t="s">
        <v>131</v>
      </c>
      <c r="T348" s="2664" t="s">
        <v>2435</v>
      </c>
      <c r="U348" s="1014">
        <v>1</v>
      </c>
      <c r="V348" s="1023">
        <v>34274</v>
      </c>
      <c r="W348" s="1015" t="s">
        <v>1316</v>
      </c>
      <c r="X348" s="4348" t="s">
        <v>1317</v>
      </c>
      <c r="Y348" s="992">
        <f t="shared" ca="1" si="17"/>
        <v>24.136111111111113</v>
      </c>
      <c r="Z348" s="79">
        <v>336</v>
      </c>
    </row>
    <row r="349" spans="1:26" ht="14.1" customHeight="1" x14ac:dyDescent="0.25">
      <c r="A349" s="79"/>
      <c r="B349" s="978" t="s">
        <v>1685</v>
      </c>
      <c r="C349" s="1208" t="s">
        <v>308</v>
      </c>
      <c r="D349" s="1940"/>
      <c r="E349" s="2007"/>
      <c r="F349" s="3782">
        <f t="shared" si="18"/>
        <v>159.86167220153123</v>
      </c>
      <c r="G349" s="994"/>
      <c r="H349" s="995"/>
      <c r="I349" s="944">
        <v>132237361</v>
      </c>
      <c r="J349" s="808">
        <v>573231300</v>
      </c>
      <c r="K349" s="808">
        <v>532105412</v>
      </c>
      <c r="L349" s="808">
        <v>389704571</v>
      </c>
      <c r="M349" s="808">
        <v>591581747</v>
      </c>
      <c r="N349" s="808">
        <v>488389399</v>
      </c>
      <c r="O349" s="781">
        <v>450514241</v>
      </c>
      <c r="P349" s="808">
        <v>54477772</v>
      </c>
      <c r="Q349" s="781">
        <v>322923702</v>
      </c>
      <c r="R349" s="996" t="s">
        <v>309</v>
      </c>
      <c r="S349" s="1001" t="s">
        <v>131</v>
      </c>
      <c r="T349" s="2670" t="s">
        <v>2435</v>
      </c>
      <c r="U349" s="1002">
        <v>1</v>
      </c>
      <c r="V349" s="1003">
        <v>34090</v>
      </c>
      <c r="W349" s="998" t="s">
        <v>71</v>
      </c>
      <c r="X349" s="4342" t="s">
        <v>106</v>
      </c>
      <c r="Y349" s="999">
        <f t="shared" ca="1" si="17"/>
        <v>24.636111111111113</v>
      </c>
      <c r="Z349" s="79"/>
    </row>
    <row r="350" spans="1:26" ht="14.1" customHeight="1" x14ac:dyDescent="0.25">
      <c r="A350" s="79">
        <v>338</v>
      </c>
      <c r="B350" s="978" t="s">
        <v>1685</v>
      </c>
      <c r="C350" s="1208" t="s">
        <v>303</v>
      </c>
      <c r="D350" s="1940"/>
      <c r="E350" s="2010"/>
      <c r="F350" s="3782">
        <f t="shared" si="18"/>
        <v>159.87492712224986</v>
      </c>
      <c r="G350" s="994"/>
      <c r="H350" s="995"/>
      <c r="I350" s="940">
        <v>133150238</v>
      </c>
      <c r="J350" s="781">
        <v>571131082</v>
      </c>
      <c r="K350" s="781">
        <v>534321267</v>
      </c>
      <c r="L350" s="781">
        <v>386931812</v>
      </c>
      <c r="M350" s="781">
        <v>592713348</v>
      </c>
      <c r="N350" s="781">
        <v>489210409</v>
      </c>
      <c r="O350" s="781">
        <v>452684500</v>
      </c>
      <c r="P350" s="781">
        <v>54547013</v>
      </c>
      <c r="Q350" s="781">
        <v>320783214</v>
      </c>
      <c r="R350" s="996" t="s">
        <v>304</v>
      </c>
      <c r="S350" s="1001" t="s">
        <v>131</v>
      </c>
      <c r="T350" s="2670" t="s">
        <v>2435</v>
      </c>
      <c r="U350" s="1002">
        <v>1</v>
      </c>
      <c r="V350" s="1003">
        <v>34456</v>
      </c>
      <c r="W350" s="998" t="s">
        <v>76</v>
      </c>
      <c r="X350" s="4342" t="s">
        <v>1516</v>
      </c>
      <c r="Y350" s="992">
        <f t="shared" ca="1" si="17"/>
        <v>23.633333333333333</v>
      </c>
      <c r="Z350" s="79">
        <v>338</v>
      </c>
    </row>
    <row r="351" spans="1:26" ht="14.1" customHeight="1" x14ac:dyDescent="0.25">
      <c r="A351" s="79"/>
      <c r="B351" s="1020" t="s">
        <v>1685</v>
      </c>
      <c r="C351" s="1441" t="s">
        <v>1645</v>
      </c>
      <c r="D351" s="1958"/>
      <c r="E351" s="2007" t="s">
        <v>2130</v>
      </c>
      <c r="F351" s="3782">
        <f t="shared" si="18"/>
        <v>159.96267283600039</v>
      </c>
      <c r="G351" s="1004"/>
      <c r="H351" s="1005"/>
      <c r="I351" s="941">
        <v>132218880</v>
      </c>
      <c r="J351" s="939">
        <v>571861611</v>
      </c>
      <c r="K351" s="939">
        <v>532998518</v>
      </c>
      <c r="L351" s="3266">
        <v>386388042</v>
      </c>
      <c r="M351" s="939">
        <v>609149792</v>
      </c>
      <c r="N351" s="3266">
        <v>488182368</v>
      </c>
      <c r="O351" s="843">
        <v>454773941</v>
      </c>
      <c r="P351" s="939">
        <v>54519654</v>
      </c>
      <c r="Q351" s="939">
        <v>318864650</v>
      </c>
      <c r="R351" s="1006" t="s">
        <v>312</v>
      </c>
      <c r="S351" s="1007" t="s">
        <v>131</v>
      </c>
      <c r="T351" s="2671" t="s">
        <v>2435</v>
      </c>
      <c r="U351" s="1008">
        <v>1</v>
      </c>
      <c r="V351" s="3237">
        <v>34402</v>
      </c>
      <c r="W351" s="1010" t="s">
        <v>106</v>
      </c>
      <c r="X351" s="4343" t="s">
        <v>107</v>
      </c>
      <c r="Y351" s="999">
        <f t="shared" ca="1" si="17"/>
        <v>23.780555555555555</v>
      </c>
      <c r="Z351" s="79"/>
    </row>
    <row r="352" spans="1:26" ht="14.1" customHeight="1" x14ac:dyDescent="0.25">
      <c r="A352" s="79">
        <v>340</v>
      </c>
      <c r="B352" s="1000" t="s">
        <v>1685</v>
      </c>
      <c r="C352" s="1424" t="s">
        <v>1287</v>
      </c>
      <c r="D352" s="1955"/>
      <c r="E352" s="2010" t="s">
        <v>2130</v>
      </c>
      <c r="F352" s="3782">
        <f t="shared" si="18"/>
        <v>159.99582954589792</v>
      </c>
      <c r="G352" s="1021"/>
      <c r="H352" s="1022"/>
      <c r="I352" s="947">
        <v>132872076</v>
      </c>
      <c r="J352" s="936">
        <v>570364613</v>
      </c>
      <c r="K352" s="936">
        <v>532713478</v>
      </c>
      <c r="L352" s="936">
        <v>387192577</v>
      </c>
      <c r="M352" s="936">
        <v>596935770</v>
      </c>
      <c r="N352" s="936">
        <v>488009979</v>
      </c>
      <c r="O352" s="846">
        <v>453127853</v>
      </c>
      <c r="P352" s="936">
        <v>54615984</v>
      </c>
      <c r="Q352" s="936">
        <v>322213775</v>
      </c>
      <c r="R352" s="1012" t="s">
        <v>305</v>
      </c>
      <c r="S352" s="1013" t="s">
        <v>131</v>
      </c>
      <c r="T352" s="2664" t="s">
        <v>2435</v>
      </c>
      <c r="U352" s="1014">
        <v>1</v>
      </c>
      <c r="V352" s="1023">
        <v>34410</v>
      </c>
      <c r="W352" s="1015" t="s">
        <v>161</v>
      </c>
      <c r="X352" s="4348" t="s">
        <v>107</v>
      </c>
      <c r="Y352" s="992">
        <f t="shared" ca="1" si="17"/>
        <v>23.758333333333333</v>
      </c>
      <c r="Z352" s="79">
        <v>340</v>
      </c>
    </row>
    <row r="353" spans="1:26" ht="14.1" customHeight="1" x14ac:dyDescent="0.2">
      <c r="A353" s="79"/>
      <c r="B353" s="978" t="s">
        <v>1685</v>
      </c>
      <c r="C353" s="1233" t="s">
        <v>1490</v>
      </c>
      <c r="D353" s="1349" t="s">
        <v>40</v>
      </c>
      <c r="E353" s="2009" t="s">
        <v>2130</v>
      </c>
      <c r="F353" s="3782">
        <f t="shared" si="18"/>
        <v>160.01706042822426</v>
      </c>
      <c r="G353" s="1024">
        <f>24.95+76.13+70.04+70.97+70.64+61.08+60.47+8.69+61.81</f>
        <v>504.78</v>
      </c>
      <c r="H353" s="1018"/>
      <c r="I353" s="940">
        <v>138693661</v>
      </c>
      <c r="J353" s="808">
        <v>584920839</v>
      </c>
      <c r="K353" s="781">
        <v>547921053</v>
      </c>
      <c r="L353" s="781">
        <v>389980475</v>
      </c>
      <c r="M353" s="781">
        <v>603526610</v>
      </c>
      <c r="N353" s="781">
        <v>499802272</v>
      </c>
      <c r="O353" s="781">
        <v>472061645</v>
      </c>
      <c r="P353" s="781">
        <v>50504614</v>
      </c>
      <c r="Q353" s="781">
        <v>298598696</v>
      </c>
      <c r="R353" s="988" t="s">
        <v>1489</v>
      </c>
      <c r="S353" s="2697" t="s">
        <v>62</v>
      </c>
      <c r="T353" s="2669" t="s">
        <v>2435</v>
      </c>
      <c r="U353" s="1019">
        <v>1</v>
      </c>
      <c r="V353" s="990">
        <v>41506</v>
      </c>
      <c r="W353" s="991" t="s">
        <v>74</v>
      </c>
      <c r="X353" s="4345" t="s">
        <v>547</v>
      </c>
      <c r="Y353" s="999">
        <f t="shared" ca="1" si="17"/>
        <v>4.333333333333333</v>
      </c>
      <c r="Z353" s="79"/>
    </row>
    <row r="354" spans="1:26" ht="14.1" customHeight="1" x14ac:dyDescent="0.25">
      <c r="A354" s="79">
        <v>342</v>
      </c>
      <c r="B354" s="978" t="s">
        <v>1685</v>
      </c>
      <c r="C354" s="1206" t="s">
        <v>1646</v>
      </c>
      <c r="D354" s="1940"/>
      <c r="E354" s="2010"/>
      <c r="F354" s="3782">
        <f t="shared" si="18"/>
        <v>160.5872345193018</v>
      </c>
      <c r="G354" s="1029">
        <f>9.6+21+20+17.3+8.3+6.7+15.1+4.8+27.2</f>
        <v>130</v>
      </c>
      <c r="H354" s="1525">
        <f>2+14+13+4.9+1.7+1.9+6+1+6.6</f>
        <v>51.1</v>
      </c>
      <c r="I354" s="940">
        <v>134232108</v>
      </c>
      <c r="J354" s="808">
        <v>571427898</v>
      </c>
      <c r="K354" s="808">
        <v>534004654</v>
      </c>
      <c r="L354" s="808">
        <v>387820923</v>
      </c>
      <c r="M354" s="808">
        <v>591758006</v>
      </c>
      <c r="N354" s="808">
        <v>488490199</v>
      </c>
      <c r="O354" s="781">
        <v>455557843</v>
      </c>
      <c r="P354" s="808">
        <v>55027876</v>
      </c>
      <c r="Q354" s="808">
        <v>323386834</v>
      </c>
      <c r="R354" s="996" t="s">
        <v>302</v>
      </c>
      <c r="S354" s="1001" t="s">
        <v>66</v>
      </c>
      <c r="T354" s="2670" t="s">
        <v>2435</v>
      </c>
      <c r="U354" s="2700">
        <v>8</v>
      </c>
      <c r="V354" s="997">
        <v>40195</v>
      </c>
      <c r="W354" s="998" t="s">
        <v>526</v>
      </c>
      <c r="X354" s="4342" t="s">
        <v>1403</v>
      </c>
      <c r="Y354" s="992">
        <f t="shared" ca="1" si="17"/>
        <v>7.9249999999999998</v>
      </c>
      <c r="Z354" s="79">
        <v>342</v>
      </c>
    </row>
    <row r="355" spans="1:26" ht="14.1" customHeight="1" x14ac:dyDescent="0.25">
      <c r="A355" s="79"/>
      <c r="B355" s="978" t="s">
        <v>1685</v>
      </c>
      <c r="C355" s="1441" t="s">
        <v>1318</v>
      </c>
      <c r="D355" s="1953"/>
      <c r="E355" s="2007"/>
      <c r="F355" s="3782">
        <f t="shared" si="18"/>
        <v>160.75911997026745</v>
      </c>
      <c r="G355" s="1004"/>
      <c r="H355" s="1005"/>
      <c r="I355" s="941">
        <v>134359757</v>
      </c>
      <c r="J355" s="939">
        <v>574442972</v>
      </c>
      <c r="K355" s="939">
        <v>534311720</v>
      </c>
      <c r="L355" s="939">
        <v>388810200</v>
      </c>
      <c r="M355" s="939">
        <v>593713023</v>
      </c>
      <c r="N355" s="939">
        <v>489596059</v>
      </c>
      <c r="O355" s="843">
        <v>453539700</v>
      </c>
      <c r="P355" s="939">
        <v>55071335</v>
      </c>
      <c r="Q355" s="939">
        <v>323847532</v>
      </c>
      <c r="R355" s="1006" t="s">
        <v>322</v>
      </c>
      <c r="S355" s="1007" t="s">
        <v>131</v>
      </c>
      <c r="T355" s="2667" t="s">
        <v>2435</v>
      </c>
      <c r="U355" s="1008">
        <v>1</v>
      </c>
      <c r="V355" s="1009">
        <v>35387</v>
      </c>
      <c r="W355" s="1010" t="s">
        <v>71</v>
      </c>
      <c r="X355" s="4343" t="s">
        <v>107</v>
      </c>
      <c r="Y355" s="999">
        <f t="shared" ca="1" si="17"/>
        <v>21.088888888888889</v>
      </c>
      <c r="Z355" s="79"/>
    </row>
    <row r="356" spans="1:26" ht="14.1" customHeight="1" x14ac:dyDescent="0.2">
      <c r="A356" s="79">
        <v>344</v>
      </c>
      <c r="B356" s="978" t="s">
        <v>1685</v>
      </c>
      <c r="C356" s="1233" t="s">
        <v>1222</v>
      </c>
      <c r="D356" s="1349" t="s">
        <v>40</v>
      </c>
      <c r="E356" s="2008" t="s">
        <v>2130</v>
      </c>
      <c r="F356" s="3782">
        <f t="shared" si="18"/>
        <v>160.80402215032967</v>
      </c>
      <c r="G356" s="1024">
        <f>46.7+38.6+43.2+71.6+41.1+31.5+49.1+21.3+108.3</f>
        <v>451.40000000000003</v>
      </c>
      <c r="H356" s="1018"/>
      <c r="I356" s="944">
        <v>134836370</v>
      </c>
      <c r="J356" s="808">
        <v>572002583</v>
      </c>
      <c r="K356" s="808">
        <v>532811909</v>
      </c>
      <c r="L356" s="808">
        <v>387709033</v>
      </c>
      <c r="M356" s="808">
        <v>591765755</v>
      </c>
      <c r="N356" s="808">
        <v>488121798</v>
      </c>
      <c r="O356" s="781">
        <v>453803564</v>
      </c>
      <c r="P356" s="808">
        <v>55274997</v>
      </c>
      <c r="Q356" s="808">
        <v>323168805</v>
      </c>
      <c r="R356" s="988" t="s">
        <v>1223</v>
      </c>
      <c r="S356" s="2697" t="s">
        <v>62</v>
      </c>
      <c r="T356" s="2669" t="s">
        <v>2435</v>
      </c>
      <c r="U356" s="1019">
        <v>1</v>
      </c>
      <c r="V356" s="990">
        <v>41049</v>
      </c>
      <c r="W356" s="991" t="s">
        <v>76</v>
      </c>
      <c r="X356" s="4345" t="s">
        <v>280</v>
      </c>
      <c r="Y356" s="999">
        <f t="shared" ca="1" si="17"/>
        <v>5.583333333333333</v>
      </c>
      <c r="Z356" s="79">
        <v>344</v>
      </c>
    </row>
    <row r="357" spans="1:26" ht="14.1" customHeight="1" x14ac:dyDescent="0.2">
      <c r="A357" s="79"/>
      <c r="B357" s="1035" t="s">
        <v>1685</v>
      </c>
      <c r="C357" s="3813" t="s">
        <v>2169</v>
      </c>
      <c r="D357" s="1959" t="s">
        <v>40</v>
      </c>
      <c r="E357" s="2009" t="s">
        <v>2130</v>
      </c>
      <c r="F357" s="3782">
        <f t="shared" si="18"/>
        <v>160.85392233028551</v>
      </c>
      <c r="G357" s="3840">
        <f>1011.6+448.7+581+647.4+734.9+387.1+882.2+374.6+1022.4</f>
        <v>6089.9</v>
      </c>
      <c r="H357" s="3848"/>
      <c r="I357" s="891">
        <v>121671254</v>
      </c>
      <c r="J357" s="890">
        <v>626139318</v>
      </c>
      <c r="K357" s="890">
        <v>569297023</v>
      </c>
      <c r="L357" s="890">
        <v>366928721</v>
      </c>
      <c r="M357" s="890">
        <v>617413682</v>
      </c>
      <c r="N357" s="890">
        <v>631898547</v>
      </c>
      <c r="O357" s="864">
        <v>470061276</v>
      </c>
      <c r="P357" s="864">
        <v>47009411</v>
      </c>
      <c r="Q357" s="864">
        <v>274874811</v>
      </c>
      <c r="R357" s="1055" t="s">
        <v>1629</v>
      </c>
      <c r="S357" s="4122" t="s">
        <v>66</v>
      </c>
      <c r="T357" s="3882" t="s">
        <v>2435</v>
      </c>
      <c r="U357" s="4168">
        <v>1</v>
      </c>
      <c r="V357" s="1058">
        <v>41889</v>
      </c>
      <c r="W357" s="1059" t="s">
        <v>121</v>
      </c>
      <c r="X357" s="4356" t="s">
        <v>1630</v>
      </c>
      <c r="Y357" s="1043">
        <f t="shared" ca="1" si="17"/>
        <v>3.286111111111111</v>
      </c>
      <c r="Z357" s="79"/>
    </row>
    <row r="358" spans="1:26" ht="14.1" customHeight="1" x14ac:dyDescent="0.25">
      <c r="A358" s="79">
        <v>346</v>
      </c>
      <c r="B358" s="987" t="s">
        <v>1685</v>
      </c>
      <c r="C358" s="2264" t="s">
        <v>315</v>
      </c>
      <c r="D358" s="1957"/>
      <c r="E358" s="2010" t="s">
        <v>2130</v>
      </c>
      <c r="F358" s="3782">
        <f t="shared" si="18"/>
        <v>160.91409468002811</v>
      </c>
      <c r="G358" s="1044"/>
      <c r="H358" s="1045"/>
      <c r="I358" s="802">
        <v>134707393</v>
      </c>
      <c r="J358" s="975">
        <v>572554135</v>
      </c>
      <c r="K358" s="975">
        <v>532130174</v>
      </c>
      <c r="L358" s="975">
        <v>389625412</v>
      </c>
      <c r="M358" s="975">
        <v>593172292</v>
      </c>
      <c r="N358" s="975">
        <v>489077382</v>
      </c>
      <c r="O358" s="868">
        <v>450153726</v>
      </c>
      <c r="P358" s="975">
        <v>55530641</v>
      </c>
      <c r="Q358" s="975">
        <v>326167315</v>
      </c>
      <c r="R358" s="1046" t="s">
        <v>316</v>
      </c>
      <c r="S358" s="1047" t="s">
        <v>131</v>
      </c>
      <c r="T358" s="2673" t="s">
        <v>2435</v>
      </c>
      <c r="U358" s="1048">
        <v>1</v>
      </c>
      <c r="V358" s="1049">
        <v>33993</v>
      </c>
      <c r="W358" s="1050" t="s">
        <v>240</v>
      </c>
      <c r="X358" s="4357" t="s">
        <v>358</v>
      </c>
      <c r="Y358" s="1051">
        <f t="shared" ca="1" si="17"/>
        <v>24.905555555555555</v>
      </c>
      <c r="Z358" s="79">
        <v>346</v>
      </c>
    </row>
    <row r="359" spans="1:26" ht="14.1" customHeight="1" x14ac:dyDescent="0.25">
      <c r="A359" s="79"/>
      <c r="B359" s="985" t="s">
        <v>1103</v>
      </c>
      <c r="C359" s="1206" t="s">
        <v>1289</v>
      </c>
      <c r="D359" s="1938"/>
      <c r="E359" s="2007"/>
      <c r="F359" s="3782">
        <f t="shared" si="18"/>
        <v>161.01198802200534</v>
      </c>
      <c r="G359" s="994"/>
      <c r="H359" s="995"/>
      <c r="I359" s="807">
        <v>134688487</v>
      </c>
      <c r="J359" s="808">
        <v>571435820</v>
      </c>
      <c r="K359" s="808">
        <v>533984202</v>
      </c>
      <c r="L359" s="808">
        <v>388707398</v>
      </c>
      <c r="M359" s="808">
        <v>591778840</v>
      </c>
      <c r="N359" s="808">
        <v>488469311</v>
      </c>
      <c r="O359" s="781">
        <v>455858586</v>
      </c>
      <c r="P359" s="808">
        <v>55524841</v>
      </c>
      <c r="Q359" s="808">
        <v>325379419</v>
      </c>
      <c r="R359" s="996" t="s">
        <v>313</v>
      </c>
      <c r="S359" s="1001" t="s">
        <v>66</v>
      </c>
      <c r="T359" s="2663" t="s">
        <v>2435</v>
      </c>
      <c r="U359" s="1002">
        <v>1</v>
      </c>
      <c r="V359" s="1003">
        <v>37748</v>
      </c>
      <c r="W359" s="998" t="s">
        <v>73</v>
      </c>
      <c r="X359" s="4342" t="s">
        <v>314</v>
      </c>
      <c r="Y359" s="999">
        <f t="shared" ca="1" si="17"/>
        <v>14.619444444444444</v>
      </c>
      <c r="Z359" s="79"/>
    </row>
    <row r="360" spans="1:26" ht="14.1" customHeight="1" x14ac:dyDescent="0.25">
      <c r="A360" s="79">
        <v>348</v>
      </c>
      <c r="B360" s="978" t="s">
        <v>1685</v>
      </c>
      <c r="C360" s="1206" t="s">
        <v>1288</v>
      </c>
      <c r="D360" s="1940"/>
      <c r="E360" s="2010" t="s">
        <v>2130</v>
      </c>
      <c r="F360" s="3782">
        <f t="shared" si="18"/>
        <v>161.29768349159707</v>
      </c>
      <c r="G360" s="1029">
        <f>149+158+161+261+166+118+221+138+376</f>
        <v>1748</v>
      </c>
      <c r="H360" s="995"/>
      <c r="I360" s="781">
        <v>135580283</v>
      </c>
      <c r="J360" s="781">
        <v>573656380</v>
      </c>
      <c r="K360" s="781">
        <v>529148708</v>
      </c>
      <c r="L360" s="781">
        <v>381295064</v>
      </c>
      <c r="M360" s="781">
        <v>592192162</v>
      </c>
      <c r="N360" s="781">
        <v>488140980</v>
      </c>
      <c r="O360" s="781">
        <v>444517717</v>
      </c>
      <c r="P360" s="781">
        <v>59423230</v>
      </c>
      <c r="Q360" s="781">
        <v>310840324</v>
      </c>
      <c r="R360" s="996" t="s">
        <v>300</v>
      </c>
      <c r="S360" s="1001" t="s">
        <v>66</v>
      </c>
      <c r="T360" s="2670" t="s">
        <v>2435</v>
      </c>
      <c r="U360" s="1002">
        <v>1</v>
      </c>
      <c r="V360" s="1003">
        <v>36253</v>
      </c>
      <c r="W360" s="1860" t="s">
        <v>106</v>
      </c>
      <c r="X360" s="4342" t="s">
        <v>1404</v>
      </c>
      <c r="Y360" s="999">
        <f t="shared" ca="1" si="17"/>
        <v>18.713888888888889</v>
      </c>
      <c r="Z360" s="79">
        <v>348</v>
      </c>
    </row>
    <row r="361" spans="1:26" ht="14.1" customHeight="1" x14ac:dyDescent="0.25">
      <c r="A361" s="79"/>
      <c r="B361" s="1035" t="s">
        <v>1685</v>
      </c>
      <c r="C361" s="2252" t="s">
        <v>1290</v>
      </c>
      <c r="D361" s="1953"/>
      <c r="E361" s="2007" t="s">
        <v>2130</v>
      </c>
      <c r="F361" s="3782">
        <f t="shared" si="18"/>
        <v>161.44006674149989</v>
      </c>
      <c r="G361" s="1036"/>
      <c r="H361" s="1037"/>
      <c r="I361" s="890">
        <v>135015772</v>
      </c>
      <c r="J361" s="890">
        <v>571765416</v>
      </c>
      <c r="K361" s="890">
        <v>534556464</v>
      </c>
      <c r="L361" s="890">
        <v>389848137</v>
      </c>
      <c r="M361" s="890">
        <v>593082411</v>
      </c>
      <c r="N361" s="890">
        <v>489076112</v>
      </c>
      <c r="O361" s="864">
        <v>457767478</v>
      </c>
      <c r="P361" s="890">
        <v>55648776</v>
      </c>
      <c r="Q361" s="890">
        <v>327055639</v>
      </c>
      <c r="R361" s="1038" t="s">
        <v>298</v>
      </c>
      <c r="S361" s="1039" t="s">
        <v>131</v>
      </c>
      <c r="T361" s="2675" t="s">
        <v>2435</v>
      </c>
      <c r="U361" s="1040">
        <v>1</v>
      </c>
      <c r="V361" s="3654">
        <v>35042</v>
      </c>
      <c r="W361" s="1042" t="s">
        <v>71</v>
      </c>
      <c r="X361" s="4358" t="s">
        <v>1397</v>
      </c>
      <c r="Y361" s="1043">
        <f t="shared" ca="1" si="17"/>
        <v>22.030555555555555</v>
      </c>
      <c r="Z361" s="79"/>
    </row>
    <row r="362" spans="1:26" ht="14.1" customHeight="1" x14ac:dyDescent="0.25">
      <c r="A362" s="79">
        <v>350</v>
      </c>
      <c r="B362" s="2100" t="s">
        <v>1103</v>
      </c>
      <c r="C362" s="1427" t="s">
        <v>620</v>
      </c>
      <c r="D362" s="2287"/>
      <c r="E362" s="2010"/>
      <c r="F362" s="3782">
        <f t="shared" si="18"/>
        <v>161.57047224864988</v>
      </c>
      <c r="G362" s="1044"/>
      <c r="H362" s="1045"/>
      <c r="I362" s="975">
        <v>139521304</v>
      </c>
      <c r="J362" s="975">
        <v>573075186</v>
      </c>
      <c r="K362" s="975">
        <v>530104300</v>
      </c>
      <c r="L362" s="975">
        <v>381657973</v>
      </c>
      <c r="M362" s="975">
        <v>593011791</v>
      </c>
      <c r="N362" s="975">
        <v>488740679</v>
      </c>
      <c r="O362" s="868">
        <v>444419172</v>
      </c>
      <c r="P362" s="975">
        <v>60277915</v>
      </c>
      <c r="Q362" s="975">
        <v>310467892</v>
      </c>
      <c r="R362" s="1046" t="s">
        <v>300</v>
      </c>
      <c r="S362" s="1047" t="s">
        <v>66</v>
      </c>
      <c r="T362" s="2673" t="s">
        <v>2435</v>
      </c>
      <c r="U362" s="1048">
        <v>1</v>
      </c>
      <c r="V362" s="1049">
        <v>38346</v>
      </c>
      <c r="W362" s="1050" t="s">
        <v>121</v>
      </c>
      <c r="X362" s="4357" t="s">
        <v>358</v>
      </c>
      <c r="Y362" s="1051">
        <f t="shared" ca="1" si="17"/>
        <v>12.986111111111111</v>
      </c>
      <c r="Z362" s="79">
        <v>350</v>
      </c>
    </row>
    <row r="363" spans="1:26" ht="14.1" customHeight="1" x14ac:dyDescent="0.2">
      <c r="A363" s="79"/>
      <c r="B363" s="133" t="s">
        <v>1685</v>
      </c>
      <c r="C363" s="1233" t="s">
        <v>1083</v>
      </c>
      <c r="D363" s="1349" t="s">
        <v>40</v>
      </c>
      <c r="E363" s="2009" t="s">
        <v>2130</v>
      </c>
      <c r="F363" s="3782">
        <f t="shared" si="18"/>
        <v>161.81404120860228</v>
      </c>
      <c r="G363" s="1024">
        <f>3006+2045+2057+2107+1961+1528+2036+794+2677</f>
        <v>18211</v>
      </c>
      <c r="H363" s="1018"/>
      <c r="I363" s="815">
        <v>125226684</v>
      </c>
      <c r="J363" s="781">
        <v>592687961</v>
      </c>
      <c r="K363" s="781">
        <v>542178672</v>
      </c>
      <c r="L363" s="781">
        <v>364442031</v>
      </c>
      <c r="M363" s="781">
        <v>589369343</v>
      </c>
      <c r="N363" s="781">
        <v>493608318</v>
      </c>
      <c r="O363" s="781">
        <v>458378688</v>
      </c>
      <c r="P363" s="781">
        <v>48557820</v>
      </c>
      <c r="Q363" s="781">
        <v>293773926</v>
      </c>
      <c r="R363" s="988" t="s">
        <v>1082</v>
      </c>
      <c r="S363" s="1018" t="s">
        <v>66</v>
      </c>
      <c r="T363" s="2669" t="s">
        <v>2435</v>
      </c>
      <c r="U363" s="1019">
        <v>1</v>
      </c>
      <c r="V363" s="990">
        <v>39420</v>
      </c>
      <c r="W363" s="991" t="s">
        <v>73</v>
      </c>
      <c r="X363" s="4345" t="s">
        <v>275</v>
      </c>
      <c r="Y363" s="999">
        <f t="shared" ca="1" si="17"/>
        <v>10.044444444444444</v>
      </c>
      <c r="Z363" s="79"/>
    </row>
    <row r="364" spans="1:26" ht="14.1" customHeight="1" x14ac:dyDescent="0.2">
      <c r="A364" s="79">
        <v>352</v>
      </c>
      <c r="B364" s="133" t="s">
        <v>1685</v>
      </c>
      <c r="C364" s="1233" t="s">
        <v>1306</v>
      </c>
      <c r="D364" s="1349" t="s">
        <v>40</v>
      </c>
      <c r="E364" s="2008" t="s">
        <v>2130</v>
      </c>
      <c r="F364" s="3782">
        <f t="shared" si="18"/>
        <v>161.89580764851374</v>
      </c>
      <c r="G364" s="1024">
        <f>268.6+106+241.9+2453.4+92.9+104.3+504.2+193.6+4032.3</f>
        <v>7997.2000000000007</v>
      </c>
      <c r="H364" s="1018"/>
      <c r="I364" s="815">
        <v>124770892</v>
      </c>
      <c r="J364" s="781">
        <v>654297503</v>
      </c>
      <c r="K364" s="781">
        <v>578654423</v>
      </c>
      <c r="L364" s="781">
        <v>379950045</v>
      </c>
      <c r="M364" s="781">
        <v>653516292</v>
      </c>
      <c r="N364" s="781">
        <v>544145651</v>
      </c>
      <c r="O364" s="781">
        <v>462227189</v>
      </c>
      <c r="P364" s="781">
        <v>46619126</v>
      </c>
      <c r="Q364" s="781">
        <v>274294190</v>
      </c>
      <c r="R364" s="4080" t="s">
        <v>1304</v>
      </c>
      <c r="S364" s="1018" t="s">
        <v>66</v>
      </c>
      <c r="T364" s="2669" t="s">
        <v>2435</v>
      </c>
      <c r="U364" s="1019">
        <v>1</v>
      </c>
      <c r="V364" s="3236">
        <v>41456</v>
      </c>
      <c r="W364" s="4210" t="s">
        <v>71</v>
      </c>
      <c r="X364" s="4359" t="s">
        <v>280</v>
      </c>
      <c r="Y364" s="999">
        <f t="shared" ca="1" si="17"/>
        <v>4.4694444444444441</v>
      </c>
      <c r="Z364" s="79">
        <v>352</v>
      </c>
    </row>
    <row r="365" spans="1:26" ht="14.1" customHeight="1" x14ac:dyDescent="0.2">
      <c r="A365" s="79"/>
      <c r="B365" s="1035" t="s">
        <v>1685</v>
      </c>
      <c r="C365" s="3675" t="s">
        <v>323</v>
      </c>
      <c r="D365" s="1959" t="s">
        <v>40</v>
      </c>
      <c r="E365" s="2009" t="s">
        <v>2130</v>
      </c>
      <c r="F365" s="3782">
        <f t="shared" si="18"/>
        <v>162.00329217731402</v>
      </c>
      <c r="G365" s="1036"/>
      <c r="H365" s="1037"/>
      <c r="I365" s="863">
        <v>133374487</v>
      </c>
      <c r="J365" s="864">
        <v>606693487</v>
      </c>
      <c r="K365" s="864">
        <v>535149075</v>
      </c>
      <c r="L365" s="864">
        <v>388251939</v>
      </c>
      <c r="M365" s="864">
        <v>609160814</v>
      </c>
      <c r="N365" s="864">
        <v>490486557</v>
      </c>
      <c r="O365" s="864">
        <v>456278902</v>
      </c>
      <c r="P365" s="864">
        <v>54723495</v>
      </c>
      <c r="Q365" s="864">
        <v>323633222</v>
      </c>
      <c r="R365" s="1038" t="s">
        <v>324</v>
      </c>
      <c r="S365" s="1039" t="s">
        <v>131</v>
      </c>
      <c r="T365" s="2675" t="s">
        <v>2435</v>
      </c>
      <c r="U365" s="1040">
        <v>1</v>
      </c>
      <c r="V365" s="1041">
        <v>34233</v>
      </c>
      <c r="W365" s="1042" t="s">
        <v>98</v>
      </c>
      <c r="X365" s="4358" t="s">
        <v>1319</v>
      </c>
      <c r="Y365" s="1043">
        <f t="shared" ca="1" si="17"/>
        <v>24.247222222222224</v>
      </c>
      <c r="Z365" s="79"/>
    </row>
    <row r="366" spans="1:26" ht="14.1" customHeight="1" x14ac:dyDescent="0.25">
      <c r="A366" s="79">
        <v>354</v>
      </c>
      <c r="B366" s="2100" t="s">
        <v>1103</v>
      </c>
      <c r="C366" s="1427" t="s">
        <v>1428</v>
      </c>
      <c r="D366" s="1957"/>
      <c r="E366" s="2010"/>
      <c r="F366" s="3782">
        <f t="shared" si="18"/>
        <v>162.30377089189466</v>
      </c>
      <c r="G366" s="2273">
        <f>29+31+23+62+21+15+24+11+39</f>
        <v>255</v>
      </c>
      <c r="H366" s="1045"/>
      <c r="I366" s="822">
        <v>137626506</v>
      </c>
      <c r="J366" s="868">
        <v>571870646</v>
      </c>
      <c r="K366" s="868">
        <v>533078498</v>
      </c>
      <c r="L366" s="868">
        <v>387116812</v>
      </c>
      <c r="M366" s="868">
        <v>591371951</v>
      </c>
      <c r="N366" s="868">
        <v>488019468</v>
      </c>
      <c r="O366" s="868">
        <v>449905509</v>
      </c>
      <c r="P366" s="868">
        <v>61603814</v>
      </c>
      <c r="Q366" s="868">
        <v>310697814</v>
      </c>
      <c r="R366" s="1046" t="s">
        <v>109</v>
      </c>
      <c r="S366" s="1047" t="s">
        <v>66</v>
      </c>
      <c r="T366" s="3271" t="s">
        <v>2436</v>
      </c>
      <c r="U366" s="1048">
        <v>1</v>
      </c>
      <c r="V366" s="1049">
        <v>40901</v>
      </c>
      <c r="W366" s="1050" t="s">
        <v>76</v>
      </c>
      <c r="X366" s="4357" t="s">
        <v>1512</v>
      </c>
      <c r="Y366" s="1051">
        <f t="shared" ca="1" si="17"/>
        <v>5.9888888888888889</v>
      </c>
      <c r="Z366" s="79">
        <v>354</v>
      </c>
    </row>
    <row r="367" spans="1:26" ht="14.1" customHeight="1" x14ac:dyDescent="0.25">
      <c r="B367" s="985" t="s">
        <v>1103</v>
      </c>
      <c r="C367" s="1206" t="s">
        <v>317</v>
      </c>
      <c r="D367" s="1953"/>
      <c r="E367" s="2007"/>
      <c r="F367" s="3782">
        <f t="shared" si="18"/>
        <v>162.66257196579167</v>
      </c>
      <c r="G367" s="994"/>
      <c r="H367" s="995"/>
      <c r="I367" s="807">
        <v>136595571</v>
      </c>
      <c r="J367" s="781">
        <v>571408194</v>
      </c>
      <c r="K367" s="781">
        <v>533918204</v>
      </c>
      <c r="L367" s="781">
        <v>388506095</v>
      </c>
      <c r="M367" s="781">
        <v>591744013</v>
      </c>
      <c r="N367" s="781">
        <v>488454861</v>
      </c>
      <c r="O367" s="781">
        <v>455514505</v>
      </c>
      <c r="P367" s="781">
        <v>59735051</v>
      </c>
      <c r="Q367" s="808">
        <v>323283760</v>
      </c>
      <c r="R367" s="996" t="s">
        <v>318</v>
      </c>
      <c r="S367" s="1001" t="s">
        <v>66</v>
      </c>
      <c r="T367" s="2663" t="s">
        <v>2435</v>
      </c>
      <c r="U367" s="1002">
        <v>1</v>
      </c>
      <c r="V367" s="1003">
        <v>37985</v>
      </c>
      <c r="W367" s="998" t="s">
        <v>71</v>
      </c>
      <c r="X367" s="4342" t="s">
        <v>1319</v>
      </c>
      <c r="Y367" s="999">
        <f t="shared" ca="1" si="17"/>
        <v>13.972222222222221</v>
      </c>
    </row>
    <row r="368" spans="1:26" ht="14.1" customHeight="1" x14ac:dyDescent="0.25">
      <c r="A368" s="79">
        <v>356</v>
      </c>
      <c r="B368" s="978" t="s">
        <v>1685</v>
      </c>
      <c r="C368" s="1208" t="s">
        <v>339</v>
      </c>
      <c r="D368" s="1940"/>
      <c r="E368" s="2010" t="s">
        <v>2130</v>
      </c>
      <c r="F368" s="3782">
        <f t="shared" si="18"/>
        <v>162.78031290937605</v>
      </c>
      <c r="G368" s="994"/>
      <c r="H368" s="995"/>
      <c r="I368" s="807">
        <v>143552934</v>
      </c>
      <c r="J368" s="808">
        <v>606693376</v>
      </c>
      <c r="K368" s="808">
        <v>567693321</v>
      </c>
      <c r="L368" s="808">
        <v>373070047</v>
      </c>
      <c r="M368" s="808">
        <v>609160704</v>
      </c>
      <c r="N368" s="808">
        <v>492148736</v>
      </c>
      <c r="O368" s="781">
        <v>452686200</v>
      </c>
      <c r="P368" s="808">
        <v>56411847</v>
      </c>
      <c r="Q368" s="808">
        <v>303792807</v>
      </c>
      <c r="R368" s="996" t="s">
        <v>338</v>
      </c>
      <c r="S368" s="1001" t="s">
        <v>131</v>
      </c>
      <c r="T368" s="2663" t="s">
        <v>2435</v>
      </c>
      <c r="U368" s="1002">
        <v>1</v>
      </c>
      <c r="V368" s="1003">
        <v>35246</v>
      </c>
      <c r="W368" s="998" t="s">
        <v>253</v>
      </c>
      <c r="X368" s="4342" t="s">
        <v>1397</v>
      </c>
      <c r="Y368" s="999">
        <f t="shared" ca="1" si="17"/>
        <v>21.472222222222221</v>
      </c>
      <c r="Z368" s="79">
        <v>356</v>
      </c>
    </row>
    <row r="369" spans="1:26" ht="14.1" customHeight="1" x14ac:dyDescent="0.25">
      <c r="A369" s="79"/>
      <c r="B369" s="1035" t="s">
        <v>1685</v>
      </c>
      <c r="C369" s="2252" t="s">
        <v>337</v>
      </c>
      <c r="D369" s="1953"/>
      <c r="E369" s="2007" t="s">
        <v>2130</v>
      </c>
      <c r="F369" s="3782">
        <f t="shared" si="18"/>
        <v>162.78031290937605</v>
      </c>
      <c r="G369" s="1036"/>
      <c r="H369" s="1037"/>
      <c r="I369" s="891">
        <v>143552934</v>
      </c>
      <c r="J369" s="890">
        <v>606693376</v>
      </c>
      <c r="K369" s="890">
        <v>567693321</v>
      </c>
      <c r="L369" s="890">
        <v>373070047</v>
      </c>
      <c r="M369" s="890">
        <v>609160704</v>
      </c>
      <c r="N369" s="890">
        <v>492148736</v>
      </c>
      <c r="O369" s="864">
        <v>452686200</v>
      </c>
      <c r="P369" s="890">
        <v>56411847</v>
      </c>
      <c r="Q369" s="890">
        <v>303792807</v>
      </c>
      <c r="R369" s="1038" t="s">
        <v>338</v>
      </c>
      <c r="S369" s="1039" t="s">
        <v>131</v>
      </c>
      <c r="T369" s="2675" t="s">
        <v>2435</v>
      </c>
      <c r="U369" s="1040">
        <v>1</v>
      </c>
      <c r="V369" s="1041">
        <v>33923</v>
      </c>
      <c r="W369" s="1042" t="s">
        <v>253</v>
      </c>
      <c r="X369" s="4358" t="s">
        <v>1397</v>
      </c>
      <c r="Y369" s="1043">
        <f t="shared" ca="1" si="17"/>
        <v>25.097222222222221</v>
      </c>
      <c r="Z369" s="79"/>
    </row>
    <row r="370" spans="1:26" ht="14.1" customHeight="1" x14ac:dyDescent="0.25">
      <c r="A370" s="79">
        <v>358</v>
      </c>
      <c r="B370" s="2100" t="s">
        <v>1103</v>
      </c>
      <c r="C370" s="1427" t="s">
        <v>1647</v>
      </c>
      <c r="D370" s="2287"/>
      <c r="E370" s="2010"/>
      <c r="F370" s="3782">
        <f t="shared" si="18"/>
        <v>163.16029596780396</v>
      </c>
      <c r="G370" s="1044"/>
      <c r="H370" s="1045"/>
      <c r="I370" s="802">
        <v>137053280</v>
      </c>
      <c r="J370" s="975">
        <v>575346128</v>
      </c>
      <c r="K370" s="975">
        <v>505354328</v>
      </c>
      <c r="L370" s="975">
        <v>390847864</v>
      </c>
      <c r="M370" s="975">
        <v>595501256</v>
      </c>
      <c r="N370" s="975">
        <v>491679632</v>
      </c>
      <c r="O370" s="868">
        <v>459313632</v>
      </c>
      <c r="P370" s="975">
        <v>60288824</v>
      </c>
      <c r="Q370" s="975">
        <v>328097152</v>
      </c>
      <c r="R370" s="1046" t="s">
        <v>327</v>
      </c>
      <c r="S370" s="1047" t="s">
        <v>66</v>
      </c>
      <c r="T370" s="2673" t="s">
        <v>2435</v>
      </c>
      <c r="U370" s="1048">
        <v>1</v>
      </c>
      <c r="V370" s="1049">
        <v>38405</v>
      </c>
      <c r="W370" s="1050" t="s">
        <v>69</v>
      </c>
      <c r="X370" s="4357" t="s">
        <v>106</v>
      </c>
      <c r="Y370" s="1051">
        <f t="shared" ca="1" si="17"/>
        <v>12.827777777777778</v>
      </c>
      <c r="Z370" s="79">
        <v>358</v>
      </c>
    </row>
    <row r="371" spans="1:26" ht="14.1" customHeight="1" x14ac:dyDescent="0.25">
      <c r="B371" s="2523" t="s">
        <v>1685</v>
      </c>
      <c r="C371" s="1233" t="s">
        <v>1219</v>
      </c>
      <c r="D371" s="1678"/>
      <c r="E371" s="2009"/>
      <c r="F371" s="3782">
        <f t="shared" si="18"/>
        <v>163.32281791071813</v>
      </c>
      <c r="G371" s="3260">
        <f>603+1114+1466+668+1679+333+275+123+927</f>
        <v>7188</v>
      </c>
      <c r="H371" s="3264"/>
      <c r="I371" s="815">
        <v>160176687</v>
      </c>
      <c r="J371" s="808">
        <v>574315788</v>
      </c>
      <c r="K371" s="781">
        <v>521619107</v>
      </c>
      <c r="L371" s="781">
        <v>336765791</v>
      </c>
      <c r="M371" s="781">
        <v>603454547</v>
      </c>
      <c r="N371" s="781">
        <v>452132085</v>
      </c>
      <c r="O371" s="781">
        <v>286326540</v>
      </c>
      <c r="P371" s="781">
        <v>67785842</v>
      </c>
      <c r="Q371" s="781">
        <v>338526252</v>
      </c>
      <c r="R371" s="988" t="s">
        <v>579</v>
      </c>
      <c r="S371" s="989" t="s">
        <v>66</v>
      </c>
      <c r="T371" s="2669" t="s">
        <v>2435</v>
      </c>
      <c r="U371" s="1019">
        <v>1</v>
      </c>
      <c r="V371" s="990">
        <v>41176</v>
      </c>
      <c r="W371" s="991" t="s">
        <v>73</v>
      </c>
      <c r="X371" s="4345" t="s">
        <v>760</v>
      </c>
      <c r="Y371" s="999">
        <f t="shared" ca="1" si="17"/>
        <v>5.2388888888888889</v>
      </c>
    </row>
    <row r="372" spans="1:26" ht="14.1" customHeight="1" x14ac:dyDescent="0.25">
      <c r="A372" s="79">
        <v>360</v>
      </c>
      <c r="B372" s="978" t="s">
        <v>1685</v>
      </c>
      <c r="C372" s="1233" t="s">
        <v>1546</v>
      </c>
      <c r="D372" s="1678"/>
      <c r="E372" s="2008"/>
      <c r="F372" s="3782">
        <f t="shared" si="18"/>
        <v>163.49539466967434</v>
      </c>
      <c r="G372" s="1024">
        <f>703+1284+1668+787+1614+302+267+419+885</f>
        <v>7929</v>
      </c>
      <c r="H372" s="3614"/>
      <c r="I372" s="815">
        <v>160180929</v>
      </c>
      <c r="J372" s="808">
        <v>574315788</v>
      </c>
      <c r="K372" s="781">
        <v>521619107</v>
      </c>
      <c r="L372" s="781">
        <v>336793411</v>
      </c>
      <c r="M372" s="781">
        <v>603454547</v>
      </c>
      <c r="N372" s="781">
        <v>452132085</v>
      </c>
      <c r="O372" s="781">
        <v>286326540</v>
      </c>
      <c r="P372" s="781">
        <v>67440386</v>
      </c>
      <c r="Q372" s="781">
        <v>338526252</v>
      </c>
      <c r="R372" s="988" t="s">
        <v>579</v>
      </c>
      <c r="S372" s="989" t="s">
        <v>66</v>
      </c>
      <c r="T372" s="2669" t="s">
        <v>2435</v>
      </c>
      <c r="U372" s="1019">
        <v>1</v>
      </c>
      <c r="V372" s="990">
        <v>41615</v>
      </c>
      <c r="W372" s="991" t="s">
        <v>73</v>
      </c>
      <c r="X372" s="4345" t="s">
        <v>760</v>
      </c>
      <c r="Y372" s="999">
        <f t="shared" ref="Y372:Y435" ca="1" si="19">YEARFRAC(V372,Y$6)</f>
        <v>4.0361111111111114</v>
      </c>
      <c r="Z372" s="79">
        <v>360</v>
      </c>
    </row>
    <row r="373" spans="1:26" ht="14.1" customHeight="1" x14ac:dyDescent="0.2">
      <c r="B373" s="1885" t="s">
        <v>1103</v>
      </c>
      <c r="C373" s="2271" t="s">
        <v>1190</v>
      </c>
      <c r="D373" s="1959" t="s">
        <v>40</v>
      </c>
      <c r="E373" s="2009"/>
      <c r="F373" s="3782">
        <f t="shared" si="18"/>
        <v>163.77329406569584</v>
      </c>
      <c r="G373" s="2266">
        <f>103+203+114+237+150+70+50+145+62</f>
        <v>1134</v>
      </c>
      <c r="H373" s="1037"/>
      <c r="I373" s="864">
        <v>137677037</v>
      </c>
      <c r="J373" s="864">
        <v>571417347</v>
      </c>
      <c r="K373" s="864">
        <v>533938954</v>
      </c>
      <c r="L373" s="864">
        <v>388998319</v>
      </c>
      <c r="M373" s="864">
        <v>591718258</v>
      </c>
      <c r="N373" s="864">
        <v>488407996</v>
      </c>
      <c r="O373" s="864">
        <v>455777802</v>
      </c>
      <c r="P373" s="864">
        <v>60741264</v>
      </c>
      <c r="Q373" s="864">
        <v>324358544</v>
      </c>
      <c r="R373" s="3734" t="s">
        <v>320</v>
      </c>
      <c r="S373" s="2835" t="s">
        <v>66</v>
      </c>
      <c r="T373" s="2677" t="s">
        <v>2435</v>
      </c>
      <c r="U373" s="1040">
        <v>1</v>
      </c>
      <c r="V373" s="3654">
        <v>40435</v>
      </c>
      <c r="W373" s="1042" t="s">
        <v>98</v>
      </c>
      <c r="X373" s="4358" t="s">
        <v>321</v>
      </c>
      <c r="Y373" s="1043">
        <f t="shared" ca="1" si="19"/>
        <v>7.2666666666666666</v>
      </c>
    </row>
    <row r="374" spans="1:26" ht="14.1" customHeight="1" x14ac:dyDescent="0.2">
      <c r="A374" s="79">
        <v>362</v>
      </c>
      <c r="B374" s="987" t="s">
        <v>1685</v>
      </c>
      <c r="C374" s="2364" t="s">
        <v>1502</v>
      </c>
      <c r="D374" s="1960" t="s">
        <v>40</v>
      </c>
      <c r="E374" s="2008" t="s">
        <v>2130</v>
      </c>
      <c r="F374" s="3782">
        <f t="shared" si="18"/>
        <v>163.87955790436044</v>
      </c>
      <c r="G374" s="3213">
        <f>112.9+132.5+158.2+316.7+111.7+88.3+282.9+78.8+474.1</f>
        <v>1756.1</v>
      </c>
      <c r="H374" s="2215"/>
      <c r="I374" s="822">
        <v>131074014</v>
      </c>
      <c r="J374" s="975">
        <v>606693385</v>
      </c>
      <c r="K374" s="868">
        <v>577854473</v>
      </c>
      <c r="L374" s="868">
        <v>408889075</v>
      </c>
      <c r="M374" s="868">
        <v>609161737</v>
      </c>
      <c r="N374" s="868">
        <v>492148745</v>
      </c>
      <c r="O374" s="868">
        <v>506609996</v>
      </c>
      <c r="P374" s="868">
        <v>50208430</v>
      </c>
      <c r="Q374" s="868">
        <v>312135097</v>
      </c>
      <c r="R374" s="1046" t="s">
        <v>1501</v>
      </c>
      <c r="S374" s="4106" t="s">
        <v>62</v>
      </c>
      <c r="T374" s="2676" t="s">
        <v>2435</v>
      </c>
      <c r="U374" s="1048">
        <v>1</v>
      </c>
      <c r="V374" s="1049">
        <v>40621</v>
      </c>
      <c r="W374" s="1050" t="s">
        <v>161</v>
      </c>
      <c r="X374" s="4360" t="s">
        <v>106</v>
      </c>
      <c r="Y374" s="1051">
        <f t="shared" ca="1" si="19"/>
        <v>6.7527777777777782</v>
      </c>
      <c r="Z374" s="79">
        <v>362</v>
      </c>
    </row>
    <row r="375" spans="1:26" ht="14.1" customHeight="1" x14ac:dyDescent="0.2">
      <c r="B375" s="978" t="s">
        <v>1685</v>
      </c>
      <c r="C375" s="1206" t="s">
        <v>2610</v>
      </c>
      <c r="D375" s="1349" t="s">
        <v>40</v>
      </c>
      <c r="E375" s="2009"/>
      <c r="F375" s="3782">
        <f t="shared" si="18"/>
        <v>164.07878911510582</v>
      </c>
      <c r="G375" s="1029">
        <f>187.22+142.07+143.97+212.91+137.32+111.36+141.46+224.89+184.87</f>
        <v>1486.0699999999997</v>
      </c>
      <c r="H375" s="995"/>
      <c r="I375" s="807">
        <v>137936305</v>
      </c>
      <c r="J375" s="808">
        <v>572757878</v>
      </c>
      <c r="K375" s="808">
        <v>532842422</v>
      </c>
      <c r="L375" s="808">
        <v>388596250</v>
      </c>
      <c r="M375" s="808">
        <v>591889028</v>
      </c>
      <c r="N375" s="808">
        <v>488453760</v>
      </c>
      <c r="O375" s="781">
        <v>453065838</v>
      </c>
      <c r="P375" s="808">
        <v>61638261</v>
      </c>
      <c r="Q375" s="902">
        <v>323155578</v>
      </c>
      <c r="R375" s="996" t="s">
        <v>109</v>
      </c>
      <c r="S375" s="1001" t="s">
        <v>66</v>
      </c>
      <c r="T375" s="2663" t="s">
        <v>2435</v>
      </c>
      <c r="U375" s="1002">
        <v>1</v>
      </c>
      <c r="V375" s="1003">
        <v>42460</v>
      </c>
      <c r="W375" s="998" t="s">
        <v>73</v>
      </c>
      <c r="X375" s="4342" t="s">
        <v>321</v>
      </c>
      <c r="Y375" s="999">
        <f t="shared" ca="1" si="19"/>
        <v>1.7222222222222223</v>
      </c>
    </row>
    <row r="376" spans="1:26" ht="14.1" customHeight="1" x14ac:dyDescent="0.2">
      <c r="A376" s="79">
        <v>364</v>
      </c>
      <c r="B376" s="133" t="s">
        <v>1685</v>
      </c>
      <c r="C376" s="1206" t="s">
        <v>1648</v>
      </c>
      <c r="D376" s="1349" t="s">
        <v>40</v>
      </c>
      <c r="E376" s="2008"/>
      <c r="F376" s="3782">
        <f t="shared" si="18"/>
        <v>164.0902389580713</v>
      </c>
      <c r="G376" s="1016"/>
      <c r="H376" s="1017"/>
      <c r="I376" s="815">
        <v>138191843</v>
      </c>
      <c r="J376" s="808">
        <v>572091331</v>
      </c>
      <c r="K376" s="808">
        <v>534022871</v>
      </c>
      <c r="L376" s="1025">
        <v>392501125</v>
      </c>
      <c r="M376" s="808">
        <v>592998719</v>
      </c>
      <c r="N376" s="1025">
        <v>488808013</v>
      </c>
      <c r="O376" s="781">
        <v>456243113</v>
      </c>
      <c r="P376" s="808">
        <v>60946631</v>
      </c>
      <c r="Q376" s="808">
        <v>329231242</v>
      </c>
      <c r="R376" s="988" t="s">
        <v>326</v>
      </c>
      <c r="S376" s="989" t="s">
        <v>66</v>
      </c>
      <c r="T376" s="2665" t="s">
        <v>2435</v>
      </c>
      <c r="U376" s="1019">
        <v>1</v>
      </c>
      <c r="V376" s="3236">
        <v>34796</v>
      </c>
      <c r="W376" s="991" t="s">
        <v>2215</v>
      </c>
      <c r="X376" s="4345" t="s">
        <v>692</v>
      </c>
      <c r="Y376" s="999">
        <f t="shared" ca="1" si="19"/>
        <v>22.702777777777779</v>
      </c>
      <c r="Z376" s="79">
        <v>364</v>
      </c>
    </row>
    <row r="377" spans="1:26" ht="14.1" customHeight="1" x14ac:dyDescent="0.2">
      <c r="B377" s="3588" t="s">
        <v>1685</v>
      </c>
      <c r="C377" s="3206" t="s">
        <v>1291</v>
      </c>
      <c r="D377" s="1959" t="s">
        <v>40</v>
      </c>
      <c r="E377" s="2009" t="s">
        <v>2130</v>
      </c>
      <c r="F377" s="3782">
        <f t="shared" si="18"/>
        <v>164.12869493128309</v>
      </c>
      <c r="G377" s="2188"/>
      <c r="H377" s="1420"/>
      <c r="I377" s="863">
        <v>144273129</v>
      </c>
      <c r="J377" s="864">
        <v>614748338</v>
      </c>
      <c r="K377" s="864">
        <v>559321403</v>
      </c>
      <c r="L377" s="864">
        <v>388333151</v>
      </c>
      <c r="M377" s="864">
        <v>614628727</v>
      </c>
      <c r="N377" s="864">
        <v>505573853</v>
      </c>
      <c r="O377" s="864">
        <v>460907811</v>
      </c>
      <c r="P377" s="864">
        <v>56243939</v>
      </c>
      <c r="Q377" s="864">
        <v>301062372</v>
      </c>
      <c r="R377" s="1055" t="s">
        <v>340</v>
      </c>
      <c r="S377" s="1056" t="s">
        <v>131</v>
      </c>
      <c r="T377" s="2678" t="s">
        <v>2435</v>
      </c>
      <c r="U377" s="1057">
        <v>1</v>
      </c>
      <c r="V377" s="1058">
        <v>34213</v>
      </c>
      <c r="W377" s="1059" t="s">
        <v>63</v>
      </c>
      <c r="X377" s="4356" t="s">
        <v>341</v>
      </c>
      <c r="Y377" s="1043">
        <f t="shared" ca="1" si="19"/>
        <v>24.302777777777777</v>
      </c>
    </row>
    <row r="378" spans="1:26" ht="14.1" customHeight="1" x14ac:dyDescent="0.25">
      <c r="A378" s="79">
        <v>366</v>
      </c>
      <c r="B378" s="2100" t="s">
        <v>1103</v>
      </c>
      <c r="C378" s="1427" t="s">
        <v>1429</v>
      </c>
      <c r="D378" s="2287"/>
      <c r="E378" s="2010"/>
      <c r="F378" s="3782">
        <f t="shared" si="18"/>
        <v>164.15790418514757</v>
      </c>
      <c r="G378" s="2273">
        <f>27+18+27+38+20+15+22+41+24</f>
        <v>232</v>
      </c>
      <c r="H378" s="1045"/>
      <c r="I378" s="822">
        <v>139384034</v>
      </c>
      <c r="J378" s="868">
        <v>571859445</v>
      </c>
      <c r="K378" s="868">
        <v>533078498</v>
      </c>
      <c r="L378" s="4058">
        <v>391776056</v>
      </c>
      <c r="M378" s="868">
        <v>591671228</v>
      </c>
      <c r="N378" s="4058">
        <v>488141632</v>
      </c>
      <c r="O378" s="868">
        <v>454867278</v>
      </c>
      <c r="P378" s="868">
        <v>62129895</v>
      </c>
      <c r="Q378" s="868">
        <v>323077882</v>
      </c>
      <c r="R378" s="1046" t="s">
        <v>109</v>
      </c>
      <c r="S378" s="1047" t="s">
        <v>66</v>
      </c>
      <c r="T378" s="3271" t="s">
        <v>2436</v>
      </c>
      <c r="U378" s="1048">
        <v>1</v>
      </c>
      <c r="V378" s="4182">
        <v>40901</v>
      </c>
      <c r="W378" s="1050" t="s">
        <v>76</v>
      </c>
      <c r="X378" s="4357" t="s">
        <v>107</v>
      </c>
      <c r="Y378" s="1051">
        <f t="shared" ca="1" si="19"/>
        <v>5.9888888888888889</v>
      </c>
      <c r="Z378" s="79">
        <v>366</v>
      </c>
    </row>
    <row r="379" spans="1:26" ht="14.1" customHeight="1" x14ac:dyDescent="0.2">
      <c r="B379" s="978" t="s">
        <v>1685</v>
      </c>
      <c r="C379" s="1206" t="s">
        <v>1189</v>
      </c>
      <c r="D379" s="1349" t="s">
        <v>40</v>
      </c>
      <c r="E379" s="2009"/>
      <c r="F379" s="3782">
        <f t="shared" si="18"/>
        <v>164.28171053138055</v>
      </c>
      <c r="G379" s="994"/>
      <c r="H379" s="995"/>
      <c r="I379" s="815">
        <v>138444442</v>
      </c>
      <c r="J379" s="808">
        <v>573118960</v>
      </c>
      <c r="K379" s="781">
        <v>532537175</v>
      </c>
      <c r="L379" s="781">
        <v>392754718</v>
      </c>
      <c r="M379" s="781">
        <v>593172508</v>
      </c>
      <c r="N379" s="781">
        <v>488997944</v>
      </c>
      <c r="O379" s="781">
        <v>455957138</v>
      </c>
      <c r="P379" s="781">
        <v>61371609</v>
      </c>
      <c r="Q379" s="781">
        <v>329123783</v>
      </c>
      <c r="R379" s="996" t="s">
        <v>326</v>
      </c>
      <c r="S379" s="1001" t="s">
        <v>66</v>
      </c>
      <c r="T379" s="2663" t="s">
        <v>2435</v>
      </c>
      <c r="U379" s="1002">
        <v>1</v>
      </c>
      <c r="V379" s="1003">
        <v>38621</v>
      </c>
      <c r="W379" s="998" t="s">
        <v>76</v>
      </c>
      <c r="X379" s="4342" t="s">
        <v>692</v>
      </c>
      <c r="Y379" s="999">
        <f t="shared" ca="1" si="19"/>
        <v>12.233333333333333</v>
      </c>
    </row>
    <row r="380" spans="1:26" ht="14.1" customHeight="1" x14ac:dyDescent="0.25">
      <c r="A380" s="79">
        <v>368</v>
      </c>
      <c r="B380" s="985" t="s">
        <v>1103</v>
      </c>
      <c r="C380" s="1209" t="s">
        <v>690</v>
      </c>
      <c r="D380" s="1678"/>
      <c r="E380" s="2008" t="s">
        <v>2130</v>
      </c>
      <c r="F380" s="3782">
        <f t="shared" si="18"/>
        <v>164.57486643165393</v>
      </c>
      <c r="G380" s="1016"/>
      <c r="H380" s="1017"/>
      <c r="I380" s="807">
        <v>139691772</v>
      </c>
      <c r="J380" s="808">
        <v>574624469</v>
      </c>
      <c r="K380" s="808">
        <v>536809075</v>
      </c>
      <c r="L380" s="808">
        <v>390991585</v>
      </c>
      <c r="M380" s="808">
        <v>592620300</v>
      </c>
      <c r="N380" s="808">
        <v>488729980</v>
      </c>
      <c r="O380" s="781">
        <v>461860618</v>
      </c>
      <c r="P380" s="808">
        <v>61467173</v>
      </c>
      <c r="Q380" s="808">
        <v>325853170</v>
      </c>
      <c r="R380" s="988" t="s">
        <v>689</v>
      </c>
      <c r="S380" s="989" t="s">
        <v>131</v>
      </c>
      <c r="T380" s="2665" t="s">
        <v>2435</v>
      </c>
      <c r="U380" s="1019">
        <v>1</v>
      </c>
      <c r="V380" s="990">
        <v>35923</v>
      </c>
      <c r="W380" s="991" t="s">
        <v>161</v>
      </c>
      <c r="X380" s="4345" t="s">
        <v>691</v>
      </c>
      <c r="Y380" s="999">
        <f t="shared" ca="1" si="19"/>
        <v>19.616666666666667</v>
      </c>
      <c r="Z380" s="79">
        <v>368</v>
      </c>
    </row>
    <row r="381" spans="1:26" ht="14.1" customHeight="1" x14ac:dyDescent="0.2">
      <c r="B381" s="1035" t="s">
        <v>1685</v>
      </c>
      <c r="C381" s="3674" t="s">
        <v>364</v>
      </c>
      <c r="D381" s="1959" t="s">
        <v>40</v>
      </c>
      <c r="E381" s="2009" t="s">
        <v>2130</v>
      </c>
      <c r="F381" s="3782">
        <f t="shared" si="18"/>
        <v>165.5738992979455</v>
      </c>
      <c r="G381" s="1036"/>
      <c r="H381" s="1037"/>
      <c r="I381" s="891">
        <v>148235430</v>
      </c>
      <c r="J381" s="890">
        <v>685634950</v>
      </c>
      <c r="K381" s="890">
        <v>576581183</v>
      </c>
      <c r="L381" s="890">
        <v>378931996</v>
      </c>
      <c r="M381" s="890">
        <v>711664602</v>
      </c>
      <c r="N381" s="890">
        <v>580629614</v>
      </c>
      <c r="O381" s="864">
        <v>384768214</v>
      </c>
      <c r="P381" s="890">
        <v>55628460</v>
      </c>
      <c r="Q381" s="890">
        <v>272777080</v>
      </c>
      <c r="R381" s="1038" t="s">
        <v>183</v>
      </c>
      <c r="S381" s="1039" t="s">
        <v>66</v>
      </c>
      <c r="T381" s="2675" t="s">
        <v>2435</v>
      </c>
      <c r="U381" s="1040">
        <v>1</v>
      </c>
      <c r="V381" s="1041">
        <v>39042</v>
      </c>
      <c r="W381" s="1042" t="s">
        <v>98</v>
      </c>
      <c r="X381" s="4358" t="s">
        <v>365</v>
      </c>
      <c r="Y381" s="1043">
        <f t="shared" ca="1" si="19"/>
        <v>11.080555555555556</v>
      </c>
    </row>
    <row r="382" spans="1:26" ht="14.1" customHeight="1" x14ac:dyDescent="0.25">
      <c r="A382" s="79">
        <v>370</v>
      </c>
      <c r="B382" s="2100" t="s">
        <v>1103</v>
      </c>
      <c r="C382" s="1427" t="s">
        <v>757</v>
      </c>
      <c r="D382" s="2287"/>
      <c r="E382" s="2010"/>
      <c r="F382" s="3782">
        <f t="shared" si="18"/>
        <v>165.67856016770645</v>
      </c>
      <c r="G382" s="1044"/>
      <c r="H382" s="1045"/>
      <c r="I382" s="802">
        <v>141049951</v>
      </c>
      <c r="J382" s="975">
        <v>580232931</v>
      </c>
      <c r="K382" s="975">
        <v>537532952</v>
      </c>
      <c r="L382" s="975">
        <v>397704207</v>
      </c>
      <c r="M382" s="975">
        <v>594078412</v>
      </c>
      <c r="N382" s="975">
        <v>488116070</v>
      </c>
      <c r="O382" s="868">
        <v>460316026</v>
      </c>
      <c r="P382" s="975">
        <v>58030274</v>
      </c>
      <c r="Q382" s="975">
        <v>347463317</v>
      </c>
      <c r="R382" s="1046" t="s">
        <v>255</v>
      </c>
      <c r="S382" s="1047" t="s">
        <v>66</v>
      </c>
      <c r="T382" s="2673" t="s">
        <v>2435</v>
      </c>
      <c r="U382" s="1048">
        <v>1</v>
      </c>
      <c r="V382" s="1049">
        <v>37345</v>
      </c>
      <c r="W382" s="1050" t="s">
        <v>121</v>
      </c>
      <c r="X382" s="4357" t="s">
        <v>107</v>
      </c>
      <c r="Y382" s="1051">
        <f t="shared" ca="1" si="19"/>
        <v>15.722222222222221</v>
      </c>
      <c r="Z382" s="79">
        <v>370</v>
      </c>
    </row>
    <row r="383" spans="1:26" ht="14.1" customHeight="1" x14ac:dyDescent="0.25">
      <c r="B383" s="3588" t="s">
        <v>1685</v>
      </c>
      <c r="C383" s="1207" t="s">
        <v>1292</v>
      </c>
      <c r="D383" s="1678"/>
      <c r="E383" s="2009" t="s">
        <v>2130</v>
      </c>
      <c r="F383" s="3782">
        <f t="shared" si="18"/>
        <v>165.68292560091857</v>
      </c>
      <c r="G383" s="1016"/>
      <c r="H383" s="1017"/>
      <c r="I383" s="815">
        <v>146235037</v>
      </c>
      <c r="J383" s="781">
        <v>603563962</v>
      </c>
      <c r="K383" s="781">
        <v>556749135</v>
      </c>
      <c r="L383" s="781">
        <v>390375738</v>
      </c>
      <c r="M383" s="781">
        <v>593463109</v>
      </c>
      <c r="N383" s="781">
        <v>491652347</v>
      </c>
      <c r="O383" s="781">
        <v>496764514</v>
      </c>
      <c r="P383" s="781">
        <v>52423547</v>
      </c>
      <c r="Q383" s="781">
        <v>330190245</v>
      </c>
      <c r="R383" s="988" t="s">
        <v>521</v>
      </c>
      <c r="S383" s="1018" t="s">
        <v>66</v>
      </c>
      <c r="T383" s="2669" t="s">
        <v>2435</v>
      </c>
      <c r="U383" s="1019">
        <v>1</v>
      </c>
      <c r="V383" s="990">
        <v>40212</v>
      </c>
      <c r="W383" s="991" t="s">
        <v>71</v>
      </c>
      <c r="X383" s="4345" t="s">
        <v>280</v>
      </c>
      <c r="Y383" s="999">
        <f t="shared" ca="1" si="19"/>
        <v>7.8805555555555555</v>
      </c>
    </row>
    <row r="384" spans="1:26" ht="14.1" customHeight="1" x14ac:dyDescent="0.25">
      <c r="A384" s="79">
        <v>372</v>
      </c>
      <c r="B384" s="978" t="s">
        <v>1685</v>
      </c>
      <c r="C384" s="1234" t="s">
        <v>1243</v>
      </c>
      <c r="D384" s="1940"/>
      <c r="E384" s="2010" t="s">
        <v>2130</v>
      </c>
      <c r="F384" s="3782">
        <f t="shared" si="18"/>
        <v>165.80000369616471</v>
      </c>
      <c r="G384" s="994"/>
      <c r="H384" s="995"/>
      <c r="I384" s="815">
        <v>147758757</v>
      </c>
      <c r="J384" s="781">
        <v>526494408</v>
      </c>
      <c r="K384" s="781">
        <v>488069390</v>
      </c>
      <c r="L384" s="781">
        <v>398333387</v>
      </c>
      <c r="M384" s="781">
        <v>601186782</v>
      </c>
      <c r="N384" s="781">
        <v>491375033</v>
      </c>
      <c r="O384" s="781">
        <v>346142035</v>
      </c>
      <c r="P384" s="781">
        <v>73237530</v>
      </c>
      <c r="Q384" s="781">
        <v>360907868</v>
      </c>
      <c r="R384" s="996" t="s">
        <v>245</v>
      </c>
      <c r="S384" s="1001" t="s">
        <v>66</v>
      </c>
      <c r="T384" s="2663" t="s">
        <v>2435</v>
      </c>
      <c r="U384" s="1002">
        <v>1</v>
      </c>
      <c r="V384" s="1003">
        <v>39600</v>
      </c>
      <c r="W384" s="998" t="s">
        <v>71</v>
      </c>
      <c r="X384" s="4342" t="s">
        <v>246</v>
      </c>
      <c r="Y384" s="999">
        <f t="shared" ca="1" si="19"/>
        <v>9.5527777777777771</v>
      </c>
      <c r="Z384" s="79">
        <v>372</v>
      </c>
    </row>
    <row r="385" spans="1:26" ht="14.1" customHeight="1" x14ac:dyDescent="0.25">
      <c r="B385" s="1885" t="s">
        <v>1103</v>
      </c>
      <c r="C385" s="2271" t="s">
        <v>331</v>
      </c>
      <c r="D385" s="3826"/>
      <c r="E385" s="2007"/>
      <c r="F385" s="3782">
        <f t="shared" si="18"/>
        <v>166.32076027060251</v>
      </c>
      <c r="G385" s="1036"/>
      <c r="H385" s="1037"/>
      <c r="I385" s="891">
        <v>144816426</v>
      </c>
      <c r="J385" s="890">
        <v>571638182</v>
      </c>
      <c r="K385" s="890">
        <v>538660036</v>
      </c>
      <c r="L385" s="890">
        <v>394229250</v>
      </c>
      <c r="M385" s="890">
        <v>593045668</v>
      </c>
      <c r="N385" s="890">
        <v>489325203</v>
      </c>
      <c r="O385" s="864">
        <v>480335560</v>
      </c>
      <c r="P385" s="890">
        <v>57622209</v>
      </c>
      <c r="Q385" s="890">
        <v>343978709</v>
      </c>
      <c r="R385" s="1038" t="s">
        <v>332</v>
      </c>
      <c r="S385" s="1039" t="s">
        <v>66</v>
      </c>
      <c r="T385" s="2675" t="s">
        <v>2435</v>
      </c>
      <c r="U385" s="1040">
        <v>1</v>
      </c>
      <c r="V385" s="1041">
        <v>38169</v>
      </c>
      <c r="W385" s="1042" t="s">
        <v>76</v>
      </c>
      <c r="X385" s="4358" t="s">
        <v>107</v>
      </c>
      <c r="Y385" s="1043">
        <f t="shared" ca="1" si="19"/>
        <v>13.469444444444445</v>
      </c>
    </row>
    <row r="386" spans="1:26" ht="14.1" customHeight="1" x14ac:dyDescent="0.2">
      <c r="A386" s="79">
        <v>374</v>
      </c>
      <c r="B386" s="987" t="s">
        <v>1685</v>
      </c>
      <c r="C386" s="1427" t="s">
        <v>2187</v>
      </c>
      <c r="D386" s="1960" t="s">
        <v>40</v>
      </c>
      <c r="E386" s="2008" t="s">
        <v>2130</v>
      </c>
      <c r="F386" s="3782">
        <f t="shared" si="18"/>
        <v>166.34350430183437</v>
      </c>
      <c r="G386" s="2273">
        <f>403.8+1931.8+1589.2+924.3+2078.8+1747.9+1305.7+122.8+437.5</f>
        <v>10541.800000000001</v>
      </c>
      <c r="H386" s="1045"/>
      <c r="I386" s="975">
        <v>148921845</v>
      </c>
      <c r="J386" s="975">
        <v>597722871</v>
      </c>
      <c r="K386" s="975">
        <v>521764587</v>
      </c>
      <c r="L386" s="975">
        <v>361470005</v>
      </c>
      <c r="M386" s="975">
        <v>645319492</v>
      </c>
      <c r="N386" s="975">
        <v>527948381</v>
      </c>
      <c r="O386" s="868">
        <v>381058266</v>
      </c>
      <c r="P386" s="975">
        <v>64386783</v>
      </c>
      <c r="Q386" s="3621">
        <v>288519326</v>
      </c>
      <c r="R386" s="1046" t="s">
        <v>2188</v>
      </c>
      <c r="S386" s="3635" t="s">
        <v>66</v>
      </c>
      <c r="T386" s="2676" t="s">
        <v>2435</v>
      </c>
      <c r="U386" s="1048">
        <v>1</v>
      </c>
      <c r="V386" s="1049">
        <v>42275</v>
      </c>
      <c r="W386" s="1050" t="s">
        <v>121</v>
      </c>
      <c r="X386" s="4357" t="s">
        <v>2189</v>
      </c>
      <c r="Y386" s="1051">
        <f t="shared" ca="1" si="19"/>
        <v>2.2277777777777779</v>
      </c>
      <c r="Z386" s="79">
        <v>374</v>
      </c>
    </row>
    <row r="387" spans="1:26" ht="14.1" customHeight="1" x14ac:dyDescent="0.2">
      <c r="A387" s="79"/>
      <c r="B387" s="978" t="s">
        <v>1685</v>
      </c>
      <c r="C387" s="1206" t="s">
        <v>2174</v>
      </c>
      <c r="D387" s="1349" t="s">
        <v>40</v>
      </c>
      <c r="E387" s="2007" t="s">
        <v>2130</v>
      </c>
      <c r="F387" s="3782">
        <f t="shared" si="18"/>
        <v>166.57118061158369</v>
      </c>
      <c r="G387" s="1029">
        <f>173+619.2+568.1+444.3+633.1+505.9+435.9+79.4+475.3</f>
        <v>3934.2000000000007</v>
      </c>
      <c r="H387" s="995"/>
      <c r="I387" s="807">
        <v>153032320</v>
      </c>
      <c r="J387" s="808">
        <v>595079206</v>
      </c>
      <c r="K387" s="808">
        <v>534789906</v>
      </c>
      <c r="L387" s="808">
        <v>371275709</v>
      </c>
      <c r="M387" s="808">
        <v>653622892</v>
      </c>
      <c r="N387" s="808">
        <v>532854312</v>
      </c>
      <c r="O387" s="781">
        <v>382201877</v>
      </c>
      <c r="P387" s="808">
        <v>66451112</v>
      </c>
      <c r="Q387" s="902">
        <v>294183473</v>
      </c>
      <c r="R387" s="996" t="s">
        <v>2168</v>
      </c>
      <c r="S387" s="1525" t="s">
        <v>66</v>
      </c>
      <c r="T387" s="2670" t="s">
        <v>2435</v>
      </c>
      <c r="U387" s="1002">
        <v>1</v>
      </c>
      <c r="V387" s="1003">
        <v>42223</v>
      </c>
      <c r="W387" s="998" t="s">
        <v>121</v>
      </c>
      <c r="X387" s="4342" t="s">
        <v>2132</v>
      </c>
      <c r="Y387" s="999">
        <f t="shared" ca="1" si="19"/>
        <v>2.3694444444444445</v>
      </c>
      <c r="Z387" s="79"/>
    </row>
    <row r="388" spans="1:26" ht="14.1" customHeight="1" x14ac:dyDescent="0.25">
      <c r="A388" s="79">
        <v>376</v>
      </c>
      <c r="B388" s="985" t="s">
        <v>1103</v>
      </c>
      <c r="C388" s="1208" t="s">
        <v>355</v>
      </c>
      <c r="D388" s="1938"/>
      <c r="E388" s="2010" t="s">
        <v>2130</v>
      </c>
      <c r="F388" s="3782">
        <f t="shared" si="18"/>
        <v>166.82812127217878</v>
      </c>
      <c r="G388" s="994"/>
      <c r="H388" s="995"/>
      <c r="I388" s="807">
        <v>139030874</v>
      </c>
      <c r="J388" s="808">
        <v>606693376</v>
      </c>
      <c r="K388" s="808">
        <v>577854491</v>
      </c>
      <c r="L388" s="808">
        <v>415305156</v>
      </c>
      <c r="M388" s="808">
        <v>609160704</v>
      </c>
      <c r="N388" s="808">
        <v>492148736</v>
      </c>
      <c r="O388" s="841">
        <v>460754751</v>
      </c>
      <c r="P388" s="808">
        <v>57830591</v>
      </c>
      <c r="Q388" s="808">
        <v>328074111</v>
      </c>
      <c r="R388" s="996" t="s">
        <v>356</v>
      </c>
      <c r="S388" s="1001" t="s">
        <v>131</v>
      </c>
      <c r="T388" s="2663" t="s">
        <v>2435</v>
      </c>
      <c r="U388" s="1002">
        <v>1</v>
      </c>
      <c r="V388" s="1003">
        <v>37425</v>
      </c>
      <c r="W388" s="998" t="s">
        <v>156</v>
      </c>
      <c r="X388" s="4342" t="s">
        <v>107</v>
      </c>
      <c r="Y388" s="999">
        <f t="shared" ca="1" si="19"/>
        <v>15.505555555555556</v>
      </c>
      <c r="Z388" s="79">
        <v>376</v>
      </c>
    </row>
    <row r="389" spans="1:26" ht="14.1" customHeight="1" x14ac:dyDescent="0.2">
      <c r="A389" s="79"/>
      <c r="B389" s="1035" t="s">
        <v>1685</v>
      </c>
      <c r="C389" s="3674" t="s">
        <v>361</v>
      </c>
      <c r="D389" s="1959" t="s">
        <v>40</v>
      </c>
      <c r="E389" s="2009" t="s">
        <v>2130</v>
      </c>
      <c r="F389" s="3782">
        <f t="shared" si="18"/>
        <v>166.83227756026767</v>
      </c>
      <c r="G389" s="1036"/>
      <c r="H389" s="1037"/>
      <c r="I389" s="891">
        <v>148184944</v>
      </c>
      <c r="J389" s="864">
        <v>685291599</v>
      </c>
      <c r="K389" s="864">
        <v>634923928</v>
      </c>
      <c r="L389" s="864">
        <v>389260049</v>
      </c>
      <c r="M389" s="864">
        <v>756489385</v>
      </c>
      <c r="N389" s="864">
        <v>633300733</v>
      </c>
      <c r="O389" s="865">
        <v>379679795</v>
      </c>
      <c r="P389" s="864">
        <v>55644938</v>
      </c>
      <c r="Q389" s="890">
        <v>237885459</v>
      </c>
      <c r="R389" s="1038" t="s">
        <v>362</v>
      </c>
      <c r="S389" s="1039" t="s">
        <v>66</v>
      </c>
      <c r="T389" s="2675" t="s">
        <v>2435</v>
      </c>
      <c r="U389" s="1040">
        <v>1</v>
      </c>
      <c r="V389" s="1041">
        <v>39079</v>
      </c>
      <c r="W389" s="1042" t="s">
        <v>98</v>
      </c>
      <c r="X389" s="4358" t="s">
        <v>363</v>
      </c>
      <c r="Y389" s="1043">
        <f t="shared" ca="1" si="19"/>
        <v>10.977777777777778</v>
      </c>
      <c r="Z389" s="79"/>
    </row>
    <row r="390" spans="1:26" ht="14.1" customHeight="1" x14ac:dyDescent="0.2">
      <c r="A390" s="79">
        <v>378</v>
      </c>
      <c r="B390" s="3794" t="s">
        <v>1685</v>
      </c>
      <c r="C390" s="1427" t="s">
        <v>1996</v>
      </c>
      <c r="D390" s="1960" t="s">
        <v>40</v>
      </c>
      <c r="E390" s="2008" t="s">
        <v>2130</v>
      </c>
      <c r="F390" s="3782">
        <f t="shared" si="18"/>
        <v>166.89467281851404</v>
      </c>
      <c r="G390" s="2273">
        <f>1639.7+164.6+265.2+6920.2+322+132.6+1692.2+1400.3+9799.9</f>
        <v>22336.7</v>
      </c>
      <c r="H390" s="3635"/>
      <c r="I390" s="802">
        <v>122486946</v>
      </c>
      <c r="J390" s="975">
        <v>599126034</v>
      </c>
      <c r="K390" s="975">
        <v>552960545</v>
      </c>
      <c r="L390" s="975">
        <v>385210924</v>
      </c>
      <c r="M390" s="975">
        <v>586407192</v>
      </c>
      <c r="N390" s="975">
        <v>488531503</v>
      </c>
      <c r="O390" s="869">
        <v>490062633</v>
      </c>
      <c r="P390" s="975">
        <v>48564739</v>
      </c>
      <c r="Q390" s="3621">
        <v>311362287</v>
      </c>
      <c r="R390" s="1046" t="s">
        <v>1995</v>
      </c>
      <c r="S390" s="3635" t="s">
        <v>66</v>
      </c>
      <c r="T390" s="2676" t="s">
        <v>2435</v>
      </c>
      <c r="U390" s="4152">
        <v>8</v>
      </c>
      <c r="V390" s="1049">
        <v>42374</v>
      </c>
      <c r="W390" s="1050" t="s">
        <v>156</v>
      </c>
      <c r="X390" s="4357" t="s">
        <v>280</v>
      </c>
      <c r="Y390" s="1051">
        <f t="shared" ca="1" si="19"/>
        <v>1.9583333333333333</v>
      </c>
      <c r="Z390" s="79">
        <v>378</v>
      </c>
    </row>
    <row r="391" spans="1:26" ht="14.1" customHeight="1" x14ac:dyDescent="0.2">
      <c r="A391" s="79"/>
      <c r="B391" s="3940" t="s">
        <v>1685</v>
      </c>
      <c r="C391" s="3977" t="s">
        <v>333</v>
      </c>
      <c r="D391" s="3827" t="s">
        <v>40</v>
      </c>
      <c r="E391" s="1993" t="s">
        <v>2130</v>
      </c>
      <c r="F391" s="3906">
        <f t="shared" si="18"/>
        <v>167.41207766188126</v>
      </c>
      <c r="G391" s="4019"/>
      <c r="H391" s="4050"/>
      <c r="I391" s="815">
        <v>141175944</v>
      </c>
      <c r="J391" s="781">
        <v>571833729</v>
      </c>
      <c r="K391" s="781">
        <v>535284844</v>
      </c>
      <c r="L391" s="781">
        <v>406530100</v>
      </c>
      <c r="M391" s="781">
        <v>593935569</v>
      </c>
      <c r="N391" s="781">
        <v>489212932</v>
      </c>
      <c r="O391" s="841">
        <v>465103693</v>
      </c>
      <c r="P391" s="781">
        <v>60190459</v>
      </c>
      <c r="Q391" s="781">
        <v>355925340</v>
      </c>
      <c r="R391" s="4092" t="s">
        <v>334</v>
      </c>
      <c r="S391" s="4123" t="s">
        <v>131</v>
      </c>
      <c r="T391" s="4137" t="s">
        <v>2435</v>
      </c>
      <c r="U391" s="4169">
        <v>1</v>
      </c>
      <c r="V391" s="4197">
        <v>33099</v>
      </c>
      <c r="W391" s="4219" t="s">
        <v>106</v>
      </c>
      <c r="X391" s="4361" t="s">
        <v>691</v>
      </c>
      <c r="Y391" s="2775">
        <f t="shared" ca="1" si="19"/>
        <v>27.35</v>
      </c>
      <c r="Z391" s="79"/>
    </row>
    <row r="392" spans="1:26" ht="14.1" customHeight="1" x14ac:dyDescent="0.25">
      <c r="A392" s="79">
        <v>380</v>
      </c>
      <c r="B392" s="2314" t="s">
        <v>1685</v>
      </c>
      <c r="C392" s="1209" t="s">
        <v>706</v>
      </c>
      <c r="D392" s="1678"/>
      <c r="E392" s="2008" t="s">
        <v>2130</v>
      </c>
      <c r="F392" s="3782">
        <f t="shared" si="18"/>
        <v>167.43828712372587</v>
      </c>
      <c r="G392" s="1016"/>
      <c r="H392" s="1017"/>
      <c r="I392" s="807">
        <v>141175944</v>
      </c>
      <c r="J392" s="781">
        <v>571833729</v>
      </c>
      <c r="K392" s="808">
        <v>535284844</v>
      </c>
      <c r="L392" s="808">
        <v>406530100</v>
      </c>
      <c r="M392" s="808">
        <v>593934937</v>
      </c>
      <c r="N392" s="808">
        <v>489212932</v>
      </c>
      <c r="O392" s="841">
        <v>465102891</v>
      </c>
      <c r="P392" s="808">
        <v>60263688</v>
      </c>
      <c r="Q392" s="808">
        <v>355920482</v>
      </c>
      <c r="R392" s="988" t="s">
        <v>705</v>
      </c>
      <c r="S392" s="989" t="s">
        <v>131</v>
      </c>
      <c r="T392" s="2665" t="s">
        <v>2435</v>
      </c>
      <c r="U392" s="1019">
        <v>1</v>
      </c>
      <c r="V392" s="990">
        <v>34034</v>
      </c>
      <c r="W392" s="991" t="s">
        <v>76</v>
      </c>
      <c r="X392" s="4345" t="s">
        <v>459</v>
      </c>
      <c r="Y392" s="1051">
        <f t="shared" ca="1" si="19"/>
        <v>24.788888888888888</v>
      </c>
      <c r="Z392" s="79">
        <v>380</v>
      </c>
    </row>
    <row r="393" spans="1:26" ht="14.1" customHeight="1" x14ac:dyDescent="0.2">
      <c r="A393" s="79"/>
      <c r="B393" s="133" t="s">
        <v>1685</v>
      </c>
      <c r="C393" s="3206" t="s">
        <v>663</v>
      </c>
      <c r="D393" s="1959"/>
      <c r="E393" s="2009"/>
      <c r="F393" s="3782">
        <f t="shared" si="18"/>
        <v>167.46178512796388</v>
      </c>
      <c r="G393" s="2188"/>
      <c r="H393" s="1420"/>
      <c r="I393" s="863">
        <v>141316303</v>
      </c>
      <c r="J393" s="864">
        <v>571833729</v>
      </c>
      <c r="K393" s="864">
        <v>535284844</v>
      </c>
      <c r="L393" s="864">
        <v>406607520</v>
      </c>
      <c r="M393" s="864">
        <v>593751699</v>
      </c>
      <c r="N393" s="864">
        <v>489212932</v>
      </c>
      <c r="O393" s="865">
        <v>465135014</v>
      </c>
      <c r="P393" s="864">
        <v>60263688</v>
      </c>
      <c r="Q393" s="864">
        <v>355922860</v>
      </c>
      <c r="R393" s="1055" t="s">
        <v>123</v>
      </c>
      <c r="S393" s="1056" t="s">
        <v>131</v>
      </c>
      <c r="T393" s="2678" t="s">
        <v>2435</v>
      </c>
      <c r="U393" s="1057">
        <v>1</v>
      </c>
      <c r="V393" s="1058">
        <v>35065</v>
      </c>
      <c r="W393" s="1059" t="s">
        <v>76</v>
      </c>
      <c r="X393" s="4356" t="s">
        <v>692</v>
      </c>
      <c r="Y393" s="1043">
        <f t="shared" ca="1" si="19"/>
        <v>21.969444444444445</v>
      </c>
      <c r="Z393" s="79"/>
    </row>
    <row r="394" spans="1:26" ht="14.1" customHeight="1" x14ac:dyDescent="0.25">
      <c r="A394" s="79">
        <v>382</v>
      </c>
      <c r="B394" s="2100" t="s">
        <v>1103</v>
      </c>
      <c r="C394" s="1427" t="s">
        <v>1710</v>
      </c>
      <c r="D394" s="1957"/>
      <c r="E394" s="2010"/>
      <c r="F394" s="3782">
        <f t="shared" si="18"/>
        <v>167.48908691608037</v>
      </c>
      <c r="G394" s="1044"/>
      <c r="H394" s="1045"/>
      <c r="I394" s="822">
        <v>150358411</v>
      </c>
      <c r="J394" s="868">
        <v>582780563</v>
      </c>
      <c r="K394" s="868">
        <v>544029935</v>
      </c>
      <c r="L394" s="868">
        <v>398308760</v>
      </c>
      <c r="M394" s="868">
        <v>607533112</v>
      </c>
      <c r="N394" s="868">
        <v>499407432</v>
      </c>
      <c r="O394" s="869">
        <v>461389784</v>
      </c>
      <c r="P394" s="868">
        <v>59058861</v>
      </c>
      <c r="Q394" s="868">
        <v>334946239</v>
      </c>
      <c r="R394" s="1046" t="s">
        <v>335</v>
      </c>
      <c r="S394" s="1047" t="s">
        <v>66</v>
      </c>
      <c r="T394" s="2673" t="s">
        <v>2435</v>
      </c>
      <c r="U394" s="1048">
        <v>1</v>
      </c>
      <c r="V394" s="1049">
        <v>36180</v>
      </c>
      <c r="W394" s="1050" t="s">
        <v>336</v>
      </c>
      <c r="X394" s="4357" t="s">
        <v>692</v>
      </c>
      <c r="Y394" s="1051">
        <f t="shared" ca="1" si="19"/>
        <v>18.916666666666668</v>
      </c>
      <c r="Z394" s="79">
        <v>382</v>
      </c>
    </row>
    <row r="395" spans="1:26" ht="14.1" customHeight="1" x14ac:dyDescent="0.25">
      <c r="A395" s="79"/>
      <c r="B395" s="1035" t="s">
        <v>1685</v>
      </c>
      <c r="C395" s="1208" t="s">
        <v>1405</v>
      </c>
      <c r="D395" s="1940"/>
      <c r="E395" s="2007"/>
      <c r="F395" s="3782">
        <f t="shared" si="18"/>
        <v>167.60961420657608</v>
      </c>
      <c r="G395" s="994"/>
      <c r="H395" s="995"/>
      <c r="I395" s="807">
        <v>141175944</v>
      </c>
      <c r="J395" s="808">
        <v>573524810</v>
      </c>
      <c r="K395" s="808">
        <v>529579517</v>
      </c>
      <c r="L395" s="808">
        <v>406037900</v>
      </c>
      <c r="M395" s="808">
        <v>593728247</v>
      </c>
      <c r="N395" s="808">
        <v>489212932</v>
      </c>
      <c r="O395" s="841">
        <v>464548511</v>
      </c>
      <c r="P395" s="808">
        <v>61347921</v>
      </c>
      <c r="Q395" s="808">
        <v>354795750</v>
      </c>
      <c r="R395" s="996" t="s">
        <v>300</v>
      </c>
      <c r="S395" s="1001" t="s">
        <v>131</v>
      </c>
      <c r="T395" s="2663" t="s">
        <v>2435</v>
      </c>
      <c r="U395" s="1002">
        <v>1</v>
      </c>
      <c r="V395" s="1003">
        <v>33923</v>
      </c>
      <c r="W395" s="998" t="s">
        <v>121</v>
      </c>
      <c r="X395" s="4342" t="s">
        <v>1406</v>
      </c>
      <c r="Y395" s="999">
        <f t="shared" ca="1" si="19"/>
        <v>25.097222222222221</v>
      </c>
      <c r="Z395" s="79"/>
    </row>
    <row r="396" spans="1:26" ht="14.1" customHeight="1" x14ac:dyDescent="0.25">
      <c r="A396" s="79">
        <v>384</v>
      </c>
      <c r="B396" s="985" t="s">
        <v>1103</v>
      </c>
      <c r="C396" s="1235" t="s">
        <v>344</v>
      </c>
      <c r="D396" s="1938"/>
      <c r="E396" s="2010" t="s">
        <v>2130</v>
      </c>
      <c r="F396" s="3782">
        <f t="shared" si="18"/>
        <v>168.28497158302315</v>
      </c>
      <c r="G396" s="994"/>
      <c r="H396" s="995"/>
      <c r="I396" s="807">
        <v>135623701</v>
      </c>
      <c r="J396" s="808">
        <v>588353137</v>
      </c>
      <c r="K396" s="808">
        <v>556981232</v>
      </c>
      <c r="L396" s="808">
        <v>540018812</v>
      </c>
      <c r="M396" s="808">
        <v>591835044</v>
      </c>
      <c r="N396" s="808">
        <v>489444776</v>
      </c>
      <c r="O396" s="841">
        <v>508817311</v>
      </c>
      <c r="P396" s="808">
        <v>51177473</v>
      </c>
      <c r="Q396" s="808">
        <v>312373597</v>
      </c>
      <c r="R396" s="996" t="s">
        <v>345</v>
      </c>
      <c r="S396" s="1001" t="s">
        <v>66</v>
      </c>
      <c r="T396" s="2663" t="s">
        <v>2435</v>
      </c>
      <c r="U396" s="1002">
        <v>1</v>
      </c>
      <c r="V396" s="1003">
        <v>36489</v>
      </c>
      <c r="W396" s="998" t="s">
        <v>121</v>
      </c>
      <c r="X396" s="4342" t="s">
        <v>346</v>
      </c>
      <c r="Y396" s="999">
        <f t="shared" ca="1" si="19"/>
        <v>18.069444444444443</v>
      </c>
      <c r="Z396" s="79">
        <v>384</v>
      </c>
    </row>
    <row r="397" spans="1:26" ht="14.1" customHeight="1" x14ac:dyDescent="0.2">
      <c r="B397" s="1035" t="s">
        <v>1685</v>
      </c>
      <c r="C397" s="1209" t="s">
        <v>1293</v>
      </c>
      <c r="D397" s="1959"/>
      <c r="E397" s="2822" t="s">
        <v>2130</v>
      </c>
      <c r="F397" s="3782">
        <f t="shared" ref="F397:F460" si="20">SUM(I397/I$11,J397/J$11,K397/K$11,L397/L$11,M397/M$11,N397/N$11,O397/O$11,P397/P$11,Q397/Q$11)/9*100+(G397/5000)+(IF(H397 = 0,G397,H397)/5000)</f>
        <v>168.34820366157066</v>
      </c>
      <c r="G397" s="2188"/>
      <c r="H397" s="1420"/>
      <c r="I397" s="891">
        <v>141176247</v>
      </c>
      <c r="J397" s="864">
        <v>571834032</v>
      </c>
      <c r="K397" s="864">
        <v>535285147</v>
      </c>
      <c r="L397" s="864">
        <v>406608729</v>
      </c>
      <c r="M397" s="864">
        <v>593710796</v>
      </c>
      <c r="N397" s="864">
        <v>488994035</v>
      </c>
      <c r="O397" s="865">
        <v>465094090</v>
      </c>
      <c r="P397" s="864">
        <v>62785292</v>
      </c>
      <c r="Q397" s="890">
        <v>355923253</v>
      </c>
      <c r="R397" s="1055" t="s">
        <v>662</v>
      </c>
      <c r="S397" s="1056" t="s">
        <v>131</v>
      </c>
      <c r="T397" s="2678" t="s">
        <v>2435</v>
      </c>
      <c r="U397" s="1057">
        <v>1</v>
      </c>
      <c r="V397" s="1058">
        <v>34617</v>
      </c>
      <c r="W397" s="1059" t="s">
        <v>76</v>
      </c>
      <c r="X397" s="4356" t="s">
        <v>280</v>
      </c>
      <c r="Y397" s="1043">
        <f t="shared" ca="1" si="19"/>
        <v>23.194444444444443</v>
      </c>
    </row>
    <row r="398" spans="1:26" ht="14.1" customHeight="1" x14ac:dyDescent="0.2">
      <c r="A398" s="79">
        <v>386</v>
      </c>
      <c r="B398" s="2740" t="s">
        <v>1685</v>
      </c>
      <c r="C398" s="1235" t="s">
        <v>1796</v>
      </c>
      <c r="D398" s="1960" t="s">
        <v>40</v>
      </c>
      <c r="E398" s="2008" t="s">
        <v>2130</v>
      </c>
      <c r="F398" s="3782">
        <f t="shared" si="20"/>
        <v>169.26174232172917</v>
      </c>
      <c r="G398" s="2374">
        <f>2.24+18.424+13.838+11.546+15.135+3.417+12.566+2.323+12.307</f>
        <v>91.795999999999992</v>
      </c>
      <c r="H398" s="2214"/>
      <c r="I398" s="1062">
        <v>147242123</v>
      </c>
      <c r="J398" s="1063">
        <v>575965233</v>
      </c>
      <c r="K398" s="1063">
        <v>538878022</v>
      </c>
      <c r="L398" s="1063">
        <v>403020318</v>
      </c>
      <c r="M398" s="1063">
        <v>592992829</v>
      </c>
      <c r="N398" s="1063">
        <v>489894648</v>
      </c>
      <c r="O398" s="1064">
        <v>489671179</v>
      </c>
      <c r="P398" s="1063">
        <v>58218420</v>
      </c>
      <c r="Q398" s="2606">
        <v>361415066</v>
      </c>
      <c r="R398" s="2216" t="s">
        <v>1961</v>
      </c>
      <c r="S398" s="2834" t="s">
        <v>62</v>
      </c>
      <c r="T398" s="2664" t="s">
        <v>2435</v>
      </c>
      <c r="U398" s="2219">
        <v>1</v>
      </c>
      <c r="V398" s="2221">
        <v>42029</v>
      </c>
      <c r="W398" s="2222" t="s">
        <v>181</v>
      </c>
      <c r="X398" s="4362" t="s">
        <v>1797</v>
      </c>
      <c r="Y398" s="1534">
        <f t="shared" ca="1" si="19"/>
        <v>2.9027777777777777</v>
      </c>
      <c r="Z398" s="79">
        <v>386</v>
      </c>
    </row>
    <row r="399" spans="1:26" ht="14.1" customHeight="1" x14ac:dyDescent="0.25">
      <c r="B399" s="3795" t="s">
        <v>1685</v>
      </c>
      <c r="C399" s="1233" t="s">
        <v>516</v>
      </c>
      <c r="D399" s="1678"/>
      <c r="E399" s="2009" t="s">
        <v>2130</v>
      </c>
      <c r="F399" s="3782">
        <f t="shared" si="20"/>
        <v>170.42257569729495</v>
      </c>
      <c r="G399" s="2826"/>
      <c r="H399" s="2828"/>
      <c r="I399" s="840">
        <v>140228194</v>
      </c>
      <c r="J399" s="837">
        <v>566523088</v>
      </c>
      <c r="K399" s="837">
        <v>511939426</v>
      </c>
      <c r="L399" s="837">
        <v>709240453</v>
      </c>
      <c r="M399" s="837">
        <v>593365180</v>
      </c>
      <c r="N399" s="837">
        <v>488342365</v>
      </c>
      <c r="O399" s="1065">
        <v>409062096</v>
      </c>
      <c r="P399" s="780">
        <v>52762560</v>
      </c>
      <c r="Q399" s="837">
        <v>309564382</v>
      </c>
      <c r="R399" s="134" t="s">
        <v>513</v>
      </c>
      <c r="S399" s="2760" t="s">
        <v>66</v>
      </c>
      <c r="T399" s="2669" t="s">
        <v>2435</v>
      </c>
      <c r="U399" s="135">
        <v>1</v>
      </c>
      <c r="V399" s="136">
        <v>35657</v>
      </c>
      <c r="W399" s="137" t="s">
        <v>76</v>
      </c>
      <c r="X399" s="4363" t="s">
        <v>125</v>
      </c>
      <c r="Y399" s="132">
        <f t="shared" ca="1" si="19"/>
        <v>20.347222222222221</v>
      </c>
    </row>
    <row r="400" spans="1:26" ht="14.1" customHeight="1" x14ac:dyDescent="0.25">
      <c r="A400" s="79">
        <v>388</v>
      </c>
      <c r="B400" s="1033" t="s">
        <v>1103</v>
      </c>
      <c r="C400" s="2524" t="s">
        <v>1188</v>
      </c>
      <c r="D400" s="1956"/>
      <c r="E400" s="2821"/>
      <c r="F400" s="3782">
        <f t="shared" si="20"/>
        <v>170.7601585104039</v>
      </c>
      <c r="G400" s="2214"/>
      <c r="H400" s="2214"/>
      <c r="I400" s="1062">
        <v>138604952</v>
      </c>
      <c r="J400" s="1063">
        <v>571408438</v>
      </c>
      <c r="K400" s="1063">
        <v>533918721</v>
      </c>
      <c r="L400" s="2830">
        <v>393187823</v>
      </c>
      <c r="M400" s="1063">
        <v>594009823</v>
      </c>
      <c r="N400" s="2830">
        <v>488500774</v>
      </c>
      <c r="O400" s="1064">
        <v>543332087</v>
      </c>
      <c r="P400" s="1063">
        <v>63297836</v>
      </c>
      <c r="Q400" s="1063">
        <v>355358506</v>
      </c>
      <c r="R400" s="2216" t="s">
        <v>349</v>
      </c>
      <c r="S400" s="2548" t="s">
        <v>66</v>
      </c>
      <c r="T400" s="2664" t="s">
        <v>2435</v>
      </c>
      <c r="U400" s="2219">
        <v>1</v>
      </c>
      <c r="V400" s="2840">
        <v>37411</v>
      </c>
      <c r="W400" s="2222" t="s">
        <v>106</v>
      </c>
      <c r="X400" s="4362" t="s">
        <v>106</v>
      </c>
      <c r="Y400" s="1534">
        <f t="shared" ca="1" si="19"/>
        <v>15.544444444444444</v>
      </c>
      <c r="Z400" s="79">
        <v>388</v>
      </c>
    </row>
    <row r="401" spans="1:26" ht="14.1" customHeight="1" x14ac:dyDescent="0.2">
      <c r="B401" s="978" t="s">
        <v>1685</v>
      </c>
      <c r="C401" s="1234" t="s">
        <v>306</v>
      </c>
      <c r="D401" s="1349" t="s">
        <v>40</v>
      </c>
      <c r="E401" s="2009" t="s">
        <v>2130</v>
      </c>
      <c r="F401" s="3782">
        <f t="shared" si="20"/>
        <v>170.81171273446276</v>
      </c>
      <c r="G401" s="979"/>
      <c r="H401" s="980"/>
      <c r="I401" s="836">
        <v>151223772</v>
      </c>
      <c r="J401" s="837">
        <v>523739228</v>
      </c>
      <c r="K401" s="837">
        <v>490775167</v>
      </c>
      <c r="L401" s="837">
        <v>413024029</v>
      </c>
      <c r="M401" s="837">
        <v>595440304</v>
      </c>
      <c r="N401" s="837">
        <v>487096394</v>
      </c>
      <c r="O401" s="1065">
        <v>353864455</v>
      </c>
      <c r="P401" s="837">
        <v>78503478</v>
      </c>
      <c r="Q401" s="837">
        <v>384504724</v>
      </c>
      <c r="R401" s="981" t="s">
        <v>307</v>
      </c>
      <c r="S401" s="982" t="s">
        <v>66</v>
      </c>
      <c r="T401" s="2670" t="s">
        <v>2435</v>
      </c>
      <c r="U401" s="986">
        <v>1</v>
      </c>
      <c r="V401" s="983">
        <v>39597</v>
      </c>
      <c r="W401" s="984" t="s">
        <v>73</v>
      </c>
      <c r="X401" s="4364" t="s">
        <v>2024</v>
      </c>
      <c r="Y401" s="132">
        <f t="shared" ca="1" si="19"/>
        <v>9.5583333333333336</v>
      </c>
    </row>
    <row r="402" spans="1:26" ht="14.1" customHeight="1" x14ac:dyDescent="0.25">
      <c r="A402" s="79">
        <v>390</v>
      </c>
      <c r="B402" s="1000" t="s">
        <v>1685</v>
      </c>
      <c r="C402" s="1424" t="s">
        <v>347</v>
      </c>
      <c r="D402" s="1955"/>
      <c r="E402" s="2010"/>
      <c r="F402" s="3782">
        <f t="shared" si="20"/>
        <v>171.26378682548494</v>
      </c>
      <c r="G402" s="2214"/>
      <c r="H402" s="2214"/>
      <c r="I402" s="2573">
        <v>145029016</v>
      </c>
      <c r="J402" s="1495">
        <v>571722929</v>
      </c>
      <c r="K402" s="1495">
        <v>535944370</v>
      </c>
      <c r="L402" s="1495">
        <v>416552857</v>
      </c>
      <c r="M402" s="1495">
        <v>594359538</v>
      </c>
      <c r="N402" s="1495">
        <v>489331750</v>
      </c>
      <c r="O402" s="1064">
        <v>469264594</v>
      </c>
      <c r="P402" s="1495">
        <v>63034639</v>
      </c>
      <c r="Q402" s="1495">
        <v>375918055</v>
      </c>
      <c r="R402" s="2216" t="s">
        <v>348</v>
      </c>
      <c r="S402" s="2548" t="s">
        <v>131</v>
      </c>
      <c r="T402" s="2664" t="s">
        <v>2435</v>
      </c>
      <c r="U402" s="2219">
        <v>1</v>
      </c>
      <c r="V402" s="2221">
        <v>35537</v>
      </c>
      <c r="W402" s="2222" t="s">
        <v>76</v>
      </c>
      <c r="X402" s="4362" t="s">
        <v>1408</v>
      </c>
      <c r="Y402" s="1534">
        <f t="shared" ca="1" si="19"/>
        <v>20.675000000000001</v>
      </c>
      <c r="Z402" s="79">
        <v>390</v>
      </c>
    </row>
    <row r="403" spans="1:26" ht="14.1" customHeight="1" x14ac:dyDescent="0.2">
      <c r="B403" s="985" t="s">
        <v>1103</v>
      </c>
      <c r="C403" s="3593" t="s">
        <v>571</v>
      </c>
      <c r="D403" s="1349" t="s">
        <v>40</v>
      </c>
      <c r="E403" s="2009" t="s">
        <v>2130</v>
      </c>
      <c r="F403" s="3782">
        <f t="shared" si="20"/>
        <v>171.98289284498648</v>
      </c>
      <c r="G403" s="3604">
        <f>10+10+7+12+10+13+80+46+17</f>
        <v>205</v>
      </c>
      <c r="H403" s="3615"/>
      <c r="I403" s="836">
        <v>142313725</v>
      </c>
      <c r="J403" s="837">
        <v>599893422</v>
      </c>
      <c r="K403" s="837">
        <v>565797333</v>
      </c>
      <c r="L403" s="837">
        <v>419179550</v>
      </c>
      <c r="M403" s="837">
        <v>592168980</v>
      </c>
      <c r="N403" s="837">
        <v>497103228</v>
      </c>
      <c r="O403" s="1065">
        <v>525440952</v>
      </c>
      <c r="P403" s="837">
        <v>57713283</v>
      </c>
      <c r="Q403" s="837">
        <v>359511935</v>
      </c>
      <c r="R403" s="3626" t="s">
        <v>570</v>
      </c>
      <c r="S403" s="3636" t="s">
        <v>66</v>
      </c>
      <c r="T403" s="3641" t="s">
        <v>2435</v>
      </c>
      <c r="U403" s="3646">
        <v>2</v>
      </c>
      <c r="V403" s="3655">
        <v>39665</v>
      </c>
      <c r="W403" s="3662" t="s">
        <v>71</v>
      </c>
      <c r="X403" s="4365" t="s">
        <v>1408</v>
      </c>
      <c r="Y403" s="132">
        <f t="shared" ca="1" si="19"/>
        <v>9.375</v>
      </c>
    </row>
    <row r="404" spans="1:26" ht="14.1" customHeight="1" x14ac:dyDescent="0.2">
      <c r="A404" s="79">
        <v>392</v>
      </c>
      <c r="B404" s="987" t="s">
        <v>1685</v>
      </c>
      <c r="C404" s="1427" t="s">
        <v>2611</v>
      </c>
      <c r="D404" s="1960" t="s">
        <v>40</v>
      </c>
      <c r="E404" s="2008" t="s">
        <v>2130</v>
      </c>
      <c r="F404" s="3782">
        <f t="shared" si="20"/>
        <v>172.99189956934464</v>
      </c>
      <c r="G404" s="1044"/>
      <c r="H404" s="1045"/>
      <c r="I404" s="802">
        <v>145677124</v>
      </c>
      <c r="J404" s="975">
        <v>598508852</v>
      </c>
      <c r="K404" s="975">
        <v>557077882</v>
      </c>
      <c r="L404" s="975">
        <v>418627931</v>
      </c>
      <c r="M404" s="975">
        <v>593176844</v>
      </c>
      <c r="N404" s="975">
        <v>489560240</v>
      </c>
      <c r="O404" s="869">
        <v>511948858</v>
      </c>
      <c r="P404" s="975">
        <v>61412767</v>
      </c>
      <c r="Q404" s="975">
        <v>362341685</v>
      </c>
      <c r="R404" s="1046" t="s">
        <v>368</v>
      </c>
      <c r="S404" s="1047" t="s">
        <v>66</v>
      </c>
      <c r="T404" s="2676" t="s">
        <v>2435</v>
      </c>
      <c r="U404" s="1048">
        <v>1</v>
      </c>
      <c r="V404" s="1049">
        <v>38558</v>
      </c>
      <c r="W404" s="1050" t="s">
        <v>73</v>
      </c>
      <c r="X404" s="4357" t="s">
        <v>369</v>
      </c>
      <c r="Y404" s="1051">
        <f t="shared" ca="1" si="19"/>
        <v>12.402777777777779</v>
      </c>
      <c r="Z404" s="79">
        <v>392</v>
      </c>
    </row>
    <row r="405" spans="1:26" ht="14.1" customHeight="1" x14ac:dyDescent="0.25">
      <c r="A405" s="79"/>
      <c r="B405" s="133" t="s">
        <v>1685</v>
      </c>
      <c r="C405" s="1207" t="s">
        <v>1568</v>
      </c>
      <c r="D405" s="1678"/>
      <c r="E405" s="2009" t="s">
        <v>2130</v>
      </c>
      <c r="F405" s="3782">
        <f t="shared" si="20"/>
        <v>173.90075214915063</v>
      </c>
      <c r="G405" s="3605">
        <f>6.16+3.08+4.66+6.37+0.98+1.31+0.91+6.75+2.48</f>
        <v>32.699999999999996</v>
      </c>
      <c r="H405" s="3616"/>
      <c r="I405" s="836">
        <v>148714097</v>
      </c>
      <c r="J405" s="837">
        <v>578381110</v>
      </c>
      <c r="K405" s="837">
        <v>534120822</v>
      </c>
      <c r="L405" s="837">
        <v>427680353</v>
      </c>
      <c r="M405" s="837">
        <v>593327688</v>
      </c>
      <c r="N405" s="837">
        <v>488208935</v>
      </c>
      <c r="O405" s="1065">
        <v>466820524</v>
      </c>
      <c r="P405" s="837">
        <v>64251834</v>
      </c>
      <c r="Q405" s="837">
        <v>389880629</v>
      </c>
      <c r="R405" s="134" t="s">
        <v>1569</v>
      </c>
      <c r="S405" s="2760" t="s">
        <v>66</v>
      </c>
      <c r="T405" s="2669" t="s">
        <v>2435</v>
      </c>
      <c r="U405" s="135">
        <v>1</v>
      </c>
      <c r="V405" s="136">
        <v>40553</v>
      </c>
      <c r="W405" s="137" t="s">
        <v>181</v>
      </c>
      <c r="X405" s="4363" t="s">
        <v>1407</v>
      </c>
      <c r="Y405" s="132">
        <f t="shared" ca="1" si="19"/>
        <v>6.9444444444444446</v>
      </c>
      <c r="Z405" s="79"/>
    </row>
    <row r="406" spans="1:26" ht="14.1" customHeight="1" x14ac:dyDescent="0.25">
      <c r="A406" s="79">
        <v>394</v>
      </c>
      <c r="B406" s="1033" t="s">
        <v>1103</v>
      </c>
      <c r="C406" s="2524" t="s">
        <v>1649</v>
      </c>
      <c r="D406" s="1956"/>
      <c r="E406" s="2010"/>
      <c r="F406" s="3782">
        <f t="shared" si="20"/>
        <v>173.99295868091511</v>
      </c>
      <c r="G406" s="2214"/>
      <c r="H406" s="2214"/>
      <c r="I406" s="1062">
        <v>134282034</v>
      </c>
      <c r="J406" s="1063">
        <v>571408711</v>
      </c>
      <c r="K406" s="1063">
        <v>533919289</v>
      </c>
      <c r="L406" s="1063">
        <v>709240453</v>
      </c>
      <c r="M406" s="1063">
        <v>591745271</v>
      </c>
      <c r="N406" s="1063">
        <v>488458850</v>
      </c>
      <c r="O406" s="1064">
        <v>455515770</v>
      </c>
      <c r="P406" s="1063">
        <v>55027600</v>
      </c>
      <c r="Q406" s="1063">
        <v>323284354</v>
      </c>
      <c r="R406" s="2216" t="s">
        <v>310</v>
      </c>
      <c r="S406" s="2548" t="s">
        <v>66</v>
      </c>
      <c r="T406" s="2664" t="s">
        <v>2435</v>
      </c>
      <c r="U406" s="2219">
        <v>1</v>
      </c>
      <c r="V406" s="2221">
        <v>37530</v>
      </c>
      <c r="W406" s="2222" t="s">
        <v>106</v>
      </c>
      <c r="X406" s="4362" t="s">
        <v>311</v>
      </c>
      <c r="Y406" s="1534">
        <f t="shared" ca="1" si="19"/>
        <v>15.219444444444445</v>
      </c>
      <c r="Z406" s="79">
        <v>394</v>
      </c>
    </row>
    <row r="407" spans="1:26" ht="14.1" customHeight="1" x14ac:dyDescent="0.25">
      <c r="B407" s="133" t="s">
        <v>1685</v>
      </c>
      <c r="C407" s="1207" t="s">
        <v>2612</v>
      </c>
      <c r="D407" s="1678"/>
      <c r="E407" s="2009" t="s">
        <v>2130</v>
      </c>
      <c r="F407" s="3782">
        <f t="shared" si="20"/>
        <v>174.13685623492449</v>
      </c>
      <c r="G407" s="3606"/>
      <c r="H407" s="2116"/>
      <c r="I407" s="840">
        <v>151856085</v>
      </c>
      <c r="J407" s="780">
        <v>603944758</v>
      </c>
      <c r="K407" s="780">
        <v>558310847</v>
      </c>
      <c r="L407" s="780">
        <v>423167754</v>
      </c>
      <c r="M407" s="780">
        <v>593703905</v>
      </c>
      <c r="N407" s="780">
        <v>491908835</v>
      </c>
      <c r="O407" s="1065">
        <v>507996662</v>
      </c>
      <c r="P407" s="780">
        <v>58973568</v>
      </c>
      <c r="Q407" s="780">
        <v>371542080</v>
      </c>
      <c r="R407" s="134" t="s">
        <v>521</v>
      </c>
      <c r="S407" s="2833" t="s">
        <v>66</v>
      </c>
      <c r="T407" s="2669" t="s">
        <v>2435</v>
      </c>
      <c r="U407" s="135">
        <v>1</v>
      </c>
      <c r="V407" s="136">
        <v>40212</v>
      </c>
      <c r="W407" s="137" t="s">
        <v>71</v>
      </c>
      <c r="X407" s="4363" t="s">
        <v>280</v>
      </c>
      <c r="Y407" s="132">
        <f t="shared" ca="1" si="19"/>
        <v>7.8805555555555555</v>
      </c>
    </row>
    <row r="408" spans="1:26" ht="14.1" customHeight="1" x14ac:dyDescent="0.25">
      <c r="A408" s="79">
        <v>396</v>
      </c>
      <c r="B408" s="1000" t="s">
        <v>1685</v>
      </c>
      <c r="C408" s="1424" t="s">
        <v>1294</v>
      </c>
      <c r="D408" s="1955"/>
      <c r="E408" s="2010"/>
      <c r="F408" s="3782">
        <f t="shared" si="20"/>
        <v>174.1751703778408</v>
      </c>
      <c r="G408" s="2214"/>
      <c r="H408" s="2214"/>
      <c r="I408" s="1062">
        <v>146286570</v>
      </c>
      <c r="J408" s="1063">
        <v>606693404</v>
      </c>
      <c r="K408" s="1063">
        <v>577854491</v>
      </c>
      <c r="L408" s="1063">
        <v>420478460</v>
      </c>
      <c r="M408" s="1063">
        <v>609160731</v>
      </c>
      <c r="N408" s="1063">
        <v>492148768</v>
      </c>
      <c r="O408" s="1064">
        <v>491886634</v>
      </c>
      <c r="P408" s="1063">
        <v>61510034</v>
      </c>
      <c r="Q408" s="1063">
        <v>370063769</v>
      </c>
      <c r="R408" s="2216" t="s">
        <v>377</v>
      </c>
      <c r="S408" s="2548" t="s">
        <v>131</v>
      </c>
      <c r="T408" s="2664" t="s">
        <v>2435</v>
      </c>
      <c r="U408" s="2219">
        <v>1</v>
      </c>
      <c r="V408" s="2221">
        <v>33742</v>
      </c>
      <c r="W408" s="2222" t="s">
        <v>73</v>
      </c>
      <c r="X408" s="4362" t="s">
        <v>378</v>
      </c>
      <c r="Y408" s="1534">
        <f t="shared" ca="1" si="19"/>
        <v>25.588888888888889</v>
      </c>
      <c r="Z408" s="79">
        <v>396</v>
      </c>
    </row>
    <row r="409" spans="1:26" ht="14.1" customHeight="1" x14ac:dyDescent="0.25">
      <c r="B409" s="978" t="s">
        <v>1685</v>
      </c>
      <c r="C409" s="1208" t="s">
        <v>2613</v>
      </c>
      <c r="D409" s="1940"/>
      <c r="E409" s="2007"/>
      <c r="F409" s="3782">
        <f t="shared" si="20"/>
        <v>174.74830144363679</v>
      </c>
      <c r="G409" s="979"/>
      <c r="H409" s="980"/>
      <c r="I409" s="840">
        <v>151723252</v>
      </c>
      <c r="J409" s="780">
        <v>571234910</v>
      </c>
      <c r="K409" s="780">
        <v>533324758</v>
      </c>
      <c r="L409" s="780">
        <v>425164028</v>
      </c>
      <c r="M409" s="780">
        <v>593802482</v>
      </c>
      <c r="N409" s="780">
        <v>487943517</v>
      </c>
      <c r="O409" s="1065">
        <v>472202316</v>
      </c>
      <c r="P409" s="780">
        <v>65900083</v>
      </c>
      <c r="Q409" s="780">
        <v>388625579</v>
      </c>
      <c r="R409" s="981" t="s">
        <v>354</v>
      </c>
      <c r="S409" s="982" t="s">
        <v>131</v>
      </c>
      <c r="T409" s="2663" t="s">
        <v>2435</v>
      </c>
      <c r="U409" s="986">
        <v>1</v>
      </c>
      <c r="V409" s="983">
        <v>32924</v>
      </c>
      <c r="W409" s="984" t="s">
        <v>76</v>
      </c>
      <c r="X409" s="4364" t="s">
        <v>97</v>
      </c>
      <c r="Y409" s="132">
        <f t="shared" ca="1" si="19"/>
        <v>27.833333333333332</v>
      </c>
    </row>
    <row r="410" spans="1:26" ht="14.1" customHeight="1" x14ac:dyDescent="0.2">
      <c r="A410" s="79">
        <v>398</v>
      </c>
      <c r="B410" s="3930" t="s">
        <v>1685</v>
      </c>
      <c r="C410" s="3950" t="s">
        <v>352</v>
      </c>
      <c r="D410" s="596" t="s">
        <v>40</v>
      </c>
      <c r="E410" s="1996" t="s">
        <v>2130</v>
      </c>
      <c r="F410" s="3906">
        <f t="shared" si="20"/>
        <v>174.74830144363679</v>
      </c>
      <c r="G410" s="4004"/>
      <c r="H410" s="4004"/>
      <c r="I410" s="1068">
        <v>151723252</v>
      </c>
      <c r="J410" s="1069">
        <v>571234910</v>
      </c>
      <c r="K410" s="1069">
        <v>533324758</v>
      </c>
      <c r="L410" s="1070">
        <v>425164028</v>
      </c>
      <c r="M410" s="1070">
        <v>593802482</v>
      </c>
      <c r="N410" s="1070">
        <v>487943517</v>
      </c>
      <c r="O410" s="1423">
        <v>472202316</v>
      </c>
      <c r="P410" s="1070">
        <v>65900083</v>
      </c>
      <c r="Q410" s="1070">
        <v>388625579</v>
      </c>
      <c r="R410" s="4081" t="s">
        <v>353</v>
      </c>
      <c r="S410" s="4107" t="s">
        <v>131</v>
      </c>
      <c r="T410" s="4130" t="s">
        <v>2435</v>
      </c>
      <c r="U410" s="4153">
        <v>1</v>
      </c>
      <c r="V410" s="4183">
        <v>32605</v>
      </c>
      <c r="W410" s="4211" t="s">
        <v>121</v>
      </c>
      <c r="X410" s="4366" t="s">
        <v>97</v>
      </c>
      <c r="Y410" s="4222">
        <f t="shared" ca="1" si="19"/>
        <v>28.702777777777779</v>
      </c>
      <c r="Z410" s="79">
        <v>398</v>
      </c>
    </row>
    <row r="411" spans="1:26" ht="14.1" customHeight="1" x14ac:dyDescent="0.2">
      <c r="B411" s="978" t="s">
        <v>1685</v>
      </c>
      <c r="C411" s="1206" t="s">
        <v>2221</v>
      </c>
      <c r="D411" s="1349"/>
      <c r="E411" s="2007" t="s">
        <v>2130</v>
      </c>
      <c r="F411" s="3782">
        <f t="shared" si="20"/>
        <v>174.81602780451402</v>
      </c>
      <c r="G411" s="1029">
        <f>150.9+69.9+60.7+117.2+80.9+36.1+135+79.6+227.5</f>
        <v>957.80000000000007</v>
      </c>
      <c r="H411" s="995"/>
      <c r="I411" s="807">
        <v>155096138</v>
      </c>
      <c r="J411" s="808">
        <v>602399933</v>
      </c>
      <c r="K411" s="808">
        <v>564927979</v>
      </c>
      <c r="L411" s="808">
        <v>409710765</v>
      </c>
      <c r="M411" s="808">
        <v>595337214</v>
      </c>
      <c r="N411" s="808">
        <v>490730304</v>
      </c>
      <c r="O411" s="841">
        <v>526685067</v>
      </c>
      <c r="P411" s="808">
        <v>60027058</v>
      </c>
      <c r="Q411" s="902">
        <v>359307176</v>
      </c>
      <c r="R411" s="996" t="s">
        <v>2220</v>
      </c>
      <c r="S411" s="2696" t="s">
        <v>62</v>
      </c>
      <c r="T411" s="2670" t="s">
        <v>2435</v>
      </c>
      <c r="U411" s="1002">
        <v>1</v>
      </c>
      <c r="V411" s="1003">
        <v>42642</v>
      </c>
      <c r="W411" s="998" t="s">
        <v>76</v>
      </c>
      <c r="X411" s="4342" t="s">
        <v>1344</v>
      </c>
      <c r="Y411" s="999">
        <f t="shared" ca="1" si="19"/>
        <v>1.2250000000000001</v>
      </c>
    </row>
    <row r="412" spans="1:26" ht="14.1" customHeight="1" x14ac:dyDescent="0.2">
      <c r="A412" s="79">
        <v>400</v>
      </c>
      <c r="B412" s="978" t="s">
        <v>1685</v>
      </c>
      <c r="C412" s="2155" t="s">
        <v>2409</v>
      </c>
      <c r="D412" s="1349" t="s">
        <v>40</v>
      </c>
      <c r="E412" s="2820" t="s">
        <v>2130</v>
      </c>
      <c r="F412" s="3782">
        <f t="shared" si="20"/>
        <v>174.83299492878223</v>
      </c>
      <c r="G412" s="1024">
        <f>133.63+ 79.24+81.77+156.46+ 85.01+48.14+132.99+74.83+205.99</f>
        <v>998.06000000000006</v>
      </c>
      <c r="H412" s="1017"/>
      <c r="I412" s="807">
        <v>155097759</v>
      </c>
      <c r="J412" s="808">
        <v>602399944</v>
      </c>
      <c r="K412" s="808">
        <v>564927990</v>
      </c>
      <c r="L412" s="808">
        <v>409710908</v>
      </c>
      <c r="M412" s="808">
        <v>595337353</v>
      </c>
      <c r="N412" s="808">
        <v>490730311</v>
      </c>
      <c r="O412" s="841">
        <v>526685598</v>
      </c>
      <c r="P412" s="808">
        <v>60028376</v>
      </c>
      <c r="Q412" s="808">
        <v>359308292</v>
      </c>
      <c r="R412" s="988" t="s">
        <v>2220</v>
      </c>
      <c r="S412" s="2697" t="s">
        <v>62</v>
      </c>
      <c r="T412" s="2669" t="s">
        <v>2435</v>
      </c>
      <c r="U412" s="1019">
        <v>1</v>
      </c>
      <c r="V412" s="990">
        <v>42640</v>
      </c>
      <c r="W412" s="991" t="s">
        <v>76</v>
      </c>
      <c r="X412" s="4345" t="s">
        <v>1344</v>
      </c>
      <c r="Y412" s="999">
        <f t="shared" ca="1" si="19"/>
        <v>1.2305555555555556</v>
      </c>
      <c r="Z412" s="79">
        <v>400</v>
      </c>
    </row>
    <row r="413" spans="1:26" ht="14.1" customHeight="1" x14ac:dyDescent="0.2">
      <c r="A413" s="79"/>
      <c r="B413" s="1885" t="s">
        <v>1103</v>
      </c>
      <c r="C413" s="2271" t="s">
        <v>366</v>
      </c>
      <c r="D413" s="1959" t="s">
        <v>40</v>
      </c>
      <c r="E413" s="2009"/>
      <c r="F413" s="3782">
        <f t="shared" si="20"/>
        <v>174.93436453927097</v>
      </c>
      <c r="G413" s="1037"/>
      <c r="H413" s="1037"/>
      <c r="I413" s="863">
        <v>151801230</v>
      </c>
      <c r="J413" s="864">
        <v>571517925</v>
      </c>
      <c r="K413" s="864">
        <v>533588753</v>
      </c>
      <c r="L413" s="864">
        <v>425375158</v>
      </c>
      <c r="M413" s="864">
        <v>598442109</v>
      </c>
      <c r="N413" s="864">
        <v>488185566</v>
      </c>
      <c r="O413" s="865">
        <v>472434598</v>
      </c>
      <c r="P413" s="864">
        <v>65936774</v>
      </c>
      <c r="Q413" s="864">
        <v>388817927</v>
      </c>
      <c r="R413" s="1038" t="s">
        <v>367</v>
      </c>
      <c r="S413" s="1039" t="s">
        <v>66</v>
      </c>
      <c r="T413" s="2675" t="s">
        <v>2435</v>
      </c>
      <c r="U413" s="1040">
        <v>1</v>
      </c>
      <c r="V413" s="1041">
        <v>37564</v>
      </c>
      <c r="W413" s="1042" t="s">
        <v>71</v>
      </c>
      <c r="X413" s="4358" t="s">
        <v>1408</v>
      </c>
      <c r="Y413" s="1043">
        <f t="shared" ca="1" si="19"/>
        <v>15.127777777777778</v>
      </c>
      <c r="Z413" s="79"/>
    </row>
    <row r="414" spans="1:26" ht="14.1" customHeight="1" x14ac:dyDescent="0.25">
      <c r="A414" s="79">
        <v>402</v>
      </c>
      <c r="B414" s="3931" t="s">
        <v>1103</v>
      </c>
      <c r="C414" s="2364" t="s">
        <v>1295</v>
      </c>
      <c r="D414" s="2212"/>
      <c r="E414" s="2008"/>
      <c r="F414" s="3782">
        <f t="shared" si="20"/>
        <v>175.18172427892026</v>
      </c>
      <c r="G414" s="2215"/>
      <c r="H414" s="2215"/>
      <c r="I414" s="822">
        <v>151723397</v>
      </c>
      <c r="J414" s="975">
        <v>571204721</v>
      </c>
      <c r="K414" s="868">
        <v>533310113</v>
      </c>
      <c r="L414" s="868">
        <v>425164172</v>
      </c>
      <c r="M414" s="868">
        <v>593789237</v>
      </c>
      <c r="N414" s="868">
        <v>489335032</v>
      </c>
      <c r="O414" s="869">
        <v>472141549</v>
      </c>
      <c r="P414" s="868">
        <v>67006775</v>
      </c>
      <c r="Q414" s="868">
        <v>388622254</v>
      </c>
      <c r="R414" s="1052" t="s">
        <v>541</v>
      </c>
      <c r="S414" s="2218" t="s">
        <v>66</v>
      </c>
      <c r="T414" s="2679" t="s">
        <v>2435</v>
      </c>
      <c r="U414" s="2220">
        <v>1</v>
      </c>
      <c r="V414" s="1053">
        <v>39711</v>
      </c>
      <c r="W414" s="1054" t="s">
        <v>440</v>
      </c>
      <c r="X414" s="4367" t="s">
        <v>106</v>
      </c>
      <c r="Y414" s="1051">
        <f t="shared" ca="1" si="19"/>
        <v>9.25</v>
      </c>
      <c r="Z414" s="79">
        <v>402</v>
      </c>
    </row>
    <row r="415" spans="1:26" ht="14.1" customHeight="1" x14ac:dyDescent="0.2">
      <c r="A415" s="79"/>
      <c r="B415" s="133" t="s">
        <v>1685</v>
      </c>
      <c r="C415" s="1233" t="s">
        <v>1503</v>
      </c>
      <c r="D415" s="1349" t="s">
        <v>40</v>
      </c>
      <c r="E415" s="2009" t="s">
        <v>2130</v>
      </c>
      <c r="F415" s="3782">
        <f t="shared" si="20"/>
        <v>175.1922196986848</v>
      </c>
      <c r="G415" s="3704">
        <f>3+13+16+16+13+10+14+3+20</f>
        <v>108</v>
      </c>
      <c r="H415" s="3219"/>
      <c r="I415" s="807">
        <v>153267782</v>
      </c>
      <c r="J415" s="808">
        <v>600018025</v>
      </c>
      <c r="K415" s="808">
        <v>557804922</v>
      </c>
      <c r="L415" s="808">
        <v>417061736</v>
      </c>
      <c r="M415" s="808">
        <v>594114184</v>
      </c>
      <c r="N415" s="808">
        <v>489331362</v>
      </c>
      <c r="O415" s="841">
        <v>513784469</v>
      </c>
      <c r="P415" s="902">
        <v>62423499</v>
      </c>
      <c r="Q415" s="902">
        <v>368193126</v>
      </c>
      <c r="R415" s="988" t="s">
        <v>550</v>
      </c>
      <c r="S415" s="989" t="s">
        <v>66</v>
      </c>
      <c r="T415" s="2665" t="s">
        <v>2435</v>
      </c>
      <c r="U415" s="2698">
        <v>8</v>
      </c>
      <c r="V415" s="990">
        <v>41534</v>
      </c>
      <c r="W415" s="991" t="s">
        <v>181</v>
      </c>
      <c r="X415" s="4345" t="s">
        <v>280</v>
      </c>
      <c r="Y415" s="999">
        <f t="shared" ca="1" si="19"/>
        <v>4.2583333333333337</v>
      </c>
      <c r="Z415" s="79"/>
    </row>
    <row r="416" spans="1:26" ht="14.1" customHeight="1" x14ac:dyDescent="0.2">
      <c r="A416" s="79">
        <v>404</v>
      </c>
      <c r="B416" s="129" t="s">
        <v>1685</v>
      </c>
      <c r="C416" s="1429" t="s">
        <v>587</v>
      </c>
      <c r="D416" s="1349" t="s">
        <v>40</v>
      </c>
      <c r="E416" s="2008" t="s">
        <v>2130</v>
      </c>
      <c r="F416" s="3782">
        <f t="shared" si="20"/>
        <v>175.24106342951362</v>
      </c>
      <c r="G416" s="1018">
        <f>7.5+19.55+22.42+31.83+26.2+19.38+42.69+3.86+22.78</f>
        <v>196.21</v>
      </c>
      <c r="H416" s="3614"/>
      <c r="I416" s="815">
        <v>153267202</v>
      </c>
      <c r="J416" s="781">
        <v>600021696</v>
      </c>
      <c r="K416" s="781">
        <v>557864532</v>
      </c>
      <c r="L416" s="781">
        <v>417184725</v>
      </c>
      <c r="M416" s="781">
        <v>594178629</v>
      </c>
      <c r="N416" s="781">
        <v>489537460</v>
      </c>
      <c r="O416" s="841">
        <v>513801125</v>
      </c>
      <c r="P416" s="781">
        <v>62423207</v>
      </c>
      <c r="Q416" s="781">
        <v>368188442</v>
      </c>
      <c r="R416" s="988" t="s">
        <v>550</v>
      </c>
      <c r="S416" s="1018" t="s">
        <v>66</v>
      </c>
      <c r="T416" s="2669" t="s">
        <v>2435</v>
      </c>
      <c r="U416" s="2698">
        <v>8</v>
      </c>
      <c r="V416" s="990">
        <v>40984</v>
      </c>
      <c r="W416" s="991" t="s">
        <v>181</v>
      </c>
      <c r="X416" s="4345" t="s">
        <v>280</v>
      </c>
      <c r="Y416" s="999">
        <f t="shared" ca="1" si="19"/>
        <v>5.7611111111111111</v>
      </c>
      <c r="Z416" s="79">
        <v>404</v>
      </c>
    </row>
    <row r="417" spans="1:26" ht="14.1" customHeight="1" x14ac:dyDescent="0.2">
      <c r="A417" s="79"/>
      <c r="B417" s="133" t="s">
        <v>1685</v>
      </c>
      <c r="C417" s="3814" t="s">
        <v>357</v>
      </c>
      <c r="D417" s="1959" t="s">
        <v>40</v>
      </c>
      <c r="E417" s="2009" t="s">
        <v>2130</v>
      </c>
      <c r="F417" s="3782">
        <f t="shared" si="20"/>
        <v>175.26718954888437</v>
      </c>
      <c r="G417" s="1420"/>
      <c r="H417" s="1420"/>
      <c r="I417" s="863">
        <v>151988699</v>
      </c>
      <c r="J417" s="864">
        <v>573051801</v>
      </c>
      <c r="K417" s="864">
        <v>535170065</v>
      </c>
      <c r="L417" s="864">
        <v>426844087</v>
      </c>
      <c r="M417" s="864">
        <v>593940220</v>
      </c>
      <c r="N417" s="864">
        <v>488556066</v>
      </c>
      <c r="O417" s="864">
        <v>474041220</v>
      </c>
      <c r="P417" s="864">
        <v>66092097</v>
      </c>
      <c r="Q417" s="864">
        <v>390324005</v>
      </c>
      <c r="R417" s="1055" t="s">
        <v>300</v>
      </c>
      <c r="S417" s="1056" t="s">
        <v>131</v>
      </c>
      <c r="T417" s="2678" t="s">
        <v>2435</v>
      </c>
      <c r="U417" s="1057">
        <v>1</v>
      </c>
      <c r="V417" s="1058">
        <v>32605</v>
      </c>
      <c r="W417" s="1059" t="s">
        <v>121</v>
      </c>
      <c r="X417" s="4356" t="s">
        <v>358</v>
      </c>
      <c r="Y417" s="1043">
        <f t="shared" ca="1" si="19"/>
        <v>28.702777777777779</v>
      </c>
      <c r="Z417" s="79"/>
    </row>
    <row r="418" spans="1:26" ht="14.1" customHeight="1" x14ac:dyDescent="0.25">
      <c r="A418" s="79">
        <v>406</v>
      </c>
      <c r="B418" s="1033" t="s">
        <v>1103</v>
      </c>
      <c r="C418" s="1424" t="s">
        <v>359</v>
      </c>
      <c r="D418" s="1940"/>
      <c r="E418" s="2010"/>
      <c r="F418" s="3782">
        <f t="shared" si="20"/>
        <v>175.26719937085656</v>
      </c>
      <c r="G418" s="980"/>
      <c r="H418" s="980"/>
      <c r="I418" s="840">
        <v>151988699</v>
      </c>
      <c r="J418" s="780">
        <v>573051801</v>
      </c>
      <c r="K418" s="780">
        <v>535170065</v>
      </c>
      <c r="L418" s="780">
        <v>426844087</v>
      </c>
      <c r="M418" s="780">
        <v>593940220</v>
      </c>
      <c r="N418" s="780">
        <v>488556066</v>
      </c>
      <c r="O418" s="780">
        <v>474041220</v>
      </c>
      <c r="P418" s="780">
        <v>66092124</v>
      </c>
      <c r="Q418" s="780">
        <v>390324005</v>
      </c>
      <c r="R418" s="981" t="s">
        <v>217</v>
      </c>
      <c r="S418" s="982" t="s">
        <v>131</v>
      </c>
      <c r="T418" s="2663" t="s">
        <v>2435</v>
      </c>
      <c r="U418" s="986">
        <v>1</v>
      </c>
      <c r="V418" s="983">
        <v>33734</v>
      </c>
      <c r="W418" s="984" t="s">
        <v>76</v>
      </c>
      <c r="X418" s="4364" t="s">
        <v>106</v>
      </c>
      <c r="Y418" s="1534">
        <f t="shared" ca="1" si="19"/>
        <v>25.611111111111111</v>
      </c>
      <c r="Z418" s="79">
        <v>406</v>
      </c>
    </row>
    <row r="419" spans="1:26" ht="14.1" customHeight="1" x14ac:dyDescent="0.25">
      <c r="A419" s="79"/>
      <c r="B419" s="978" t="s">
        <v>1685</v>
      </c>
      <c r="C419" s="1208" t="s">
        <v>2614</v>
      </c>
      <c r="D419" s="1958"/>
      <c r="E419" s="2007"/>
      <c r="F419" s="3782">
        <f t="shared" si="20"/>
        <v>175.26722329260804</v>
      </c>
      <c r="G419" s="3607"/>
      <c r="H419" s="3607"/>
      <c r="I419" s="2526">
        <v>151981185</v>
      </c>
      <c r="J419" s="2527">
        <v>573058365</v>
      </c>
      <c r="K419" s="2527">
        <v>535175594</v>
      </c>
      <c r="L419" s="2527">
        <v>426890804</v>
      </c>
      <c r="M419" s="2527">
        <v>593948040</v>
      </c>
      <c r="N419" s="2527">
        <v>488560940</v>
      </c>
      <c r="O419" s="1071">
        <v>474043050</v>
      </c>
      <c r="P419" s="2527">
        <v>66082080</v>
      </c>
      <c r="Q419" s="2527">
        <v>390352206</v>
      </c>
      <c r="R419" s="3627" t="s">
        <v>360</v>
      </c>
      <c r="S419" s="3637" t="s">
        <v>131</v>
      </c>
      <c r="T419" s="2667" t="s">
        <v>2435</v>
      </c>
      <c r="U419" s="3647">
        <v>1</v>
      </c>
      <c r="V419" s="3656">
        <v>35759</v>
      </c>
      <c r="W419" s="3663" t="s">
        <v>106</v>
      </c>
      <c r="X419" s="4368" t="s">
        <v>106</v>
      </c>
      <c r="Y419" s="132">
        <f t="shared" ca="1" si="19"/>
        <v>20.069444444444443</v>
      </c>
      <c r="Z419" s="79"/>
    </row>
    <row r="420" spans="1:26" ht="14.1" customHeight="1" x14ac:dyDescent="0.2">
      <c r="A420" s="79">
        <v>408</v>
      </c>
      <c r="B420" s="3932" t="s">
        <v>1103</v>
      </c>
      <c r="C420" s="2364" t="s">
        <v>1296</v>
      </c>
      <c r="D420" s="1960"/>
      <c r="E420" s="2008"/>
      <c r="F420" s="3782">
        <f t="shared" si="20"/>
        <v>175.30026638243919</v>
      </c>
      <c r="G420" s="2135"/>
      <c r="H420" s="2135"/>
      <c r="I420" s="1299">
        <v>151988724</v>
      </c>
      <c r="J420" s="1070">
        <v>573051821</v>
      </c>
      <c r="K420" s="1070">
        <v>535170084</v>
      </c>
      <c r="L420" s="1070">
        <v>426844112</v>
      </c>
      <c r="M420" s="1070">
        <v>593942360</v>
      </c>
      <c r="N420" s="1070">
        <v>488556090</v>
      </c>
      <c r="O420" s="1070">
        <v>474041282</v>
      </c>
      <c r="P420" s="1070">
        <v>66182827</v>
      </c>
      <c r="Q420" s="1070">
        <v>390324181</v>
      </c>
      <c r="R420" s="2119" t="s">
        <v>656</v>
      </c>
      <c r="S420" s="2122" t="s">
        <v>66</v>
      </c>
      <c r="T420" s="2668" t="s">
        <v>2435</v>
      </c>
      <c r="U420" s="2124">
        <v>1</v>
      </c>
      <c r="V420" s="2126">
        <v>36222</v>
      </c>
      <c r="W420" s="2128" t="s">
        <v>76</v>
      </c>
      <c r="X420" s="4369" t="s">
        <v>660</v>
      </c>
      <c r="Y420" s="1534">
        <f t="shared" ca="1" si="19"/>
        <v>18.797222222222221</v>
      </c>
      <c r="Z420" s="79">
        <v>408</v>
      </c>
    </row>
    <row r="421" spans="1:26" ht="14.1" customHeight="1" x14ac:dyDescent="0.2">
      <c r="B421" s="2361" t="s">
        <v>1685</v>
      </c>
      <c r="C421" s="3257" t="s">
        <v>720</v>
      </c>
      <c r="D421" s="1959"/>
      <c r="E421" s="2009" t="s">
        <v>2130</v>
      </c>
      <c r="F421" s="3782">
        <f t="shared" si="20"/>
        <v>175.30028641848861</v>
      </c>
      <c r="G421" s="980"/>
      <c r="H421" s="980"/>
      <c r="I421" s="836">
        <v>151988751</v>
      </c>
      <c r="J421" s="837">
        <v>573051849</v>
      </c>
      <c r="K421" s="837">
        <v>535170113</v>
      </c>
      <c r="L421" s="837">
        <v>426844139</v>
      </c>
      <c r="M421" s="837">
        <v>593942389</v>
      </c>
      <c r="N421" s="837">
        <v>488556118</v>
      </c>
      <c r="O421" s="780">
        <v>474041308</v>
      </c>
      <c r="P421" s="837">
        <v>66182850</v>
      </c>
      <c r="Q421" s="1797">
        <v>390324207</v>
      </c>
      <c r="R421" s="981" t="s">
        <v>721</v>
      </c>
      <c r="S421" s="982" t="s">
        <v>131</v>
      </c>
      <c r="T421" s="2663" t="s">
        <v>2435</v>
      </c>
      <c r="U421" s="986">
        <v>1</v>
      </c>
      <c r="V421" s="983">
        <v>36548</v>
      </c>
      <c r="W421" s="984" t="s">
        <v>417</v>
      </c>
      <c r="X421" s="4370" t="s">
        <v>106</v>
      </c>
      <c r="Y421" s="132">
        <f t="shared" ca="1" si="19"/>
        <v>17.908333333333335</v>
      </c>
    </row>
    <row r="422" spans="1:26" ht="14.1" customHeight="1" x14ac:dyDescent="0.25">
      <c r="A422" s="79">
        <v>410</v>
      </c>
      <c r="B422" s="3797" t="s">
        <v>1685</v>
      </c>
      <c r="C422" s="3951" t="s">
        <v>1297</v>
      </c>
      <c r="D422" s="3399"/>
      <c r="E422" s="3831" t="s">
        <v>2130</v>
      </c>
      <c r="F422" s="3782">
        <f t="shared" si="20"/>
        <v>175.60732210546709</v>
      </c>
      <c r="G422" s="2116"/>
      <c r="H422" s="2116"/>
      <c r="I422" s="836">
        <v>151778634</v>
      </c>
      <c r="J422" s="837">
        <v>659991863</v>
      </c>
      <c r="K422" s="837">
        <v>595582337</v>
      </c>
      <c r="L422" s="837">
        <v>411579302</v>
      </c>
      <c r="M422" s="837">
        <v>661650020</v>
      </c>
      <c r="N422" s="837">
        <v>544935432</v>
      </c>
      <c r="O422" s="780">
        <v>505211412</v>
      </c>
      <c r="P422" s="837">
        <v>58081318</v>
      </c>
      <c r="Q422" s="837">
        <v>330288191</v>
      </c>
      <c r="R422" s="4082" t="s">
        <v>372</v>
      </c>
      <c r="S422" s="4108" t="s">
        <v>66</v>
      </c>
      <c r="T422" s="4131" t="s">
        <v>2435</v>
      </c>
      <c r="U422" s="4154">
        <v>1</v>
      </c>
      <c r="V422" s="4184">
        <v>39660</v>
      </c>
      <c r="W422" s="4212" t="s">
        <v>71</v>
      </c>
      <c r="X422" s="4371" t="s">
        <v>373</v>
      </c>
      <c r="Y422" s="1534">
        <f t="shared" ca="1" si="19"/>
        <v>9.3888888888888893</v>
      </c>
      <c r="Z422" s="79">
        <v>410</v>
      </c>
    </row>
    <row r="423" spans="1:26" ht="14.1" customHeight="1" x14ac:dyDescent="0.2">
      <c r="B423" s="978" t="s">
        <v>1685</v>
      </c>
      <c r="C423" s="3815" t="s">
        <v>2264</v>
      </c>
      <c r="D423" s="1954" t="s">
        <v>40</v>
      </c>
      <c r="E423" s="2009" t="s">
        <v>2130</v>
      </c>
      <c r="F423" s="3782">
        <f t="shared" si="20"/>
        <v>176.12405669973407</v>
      </c>
      <c r="G423" s="3695">
        <f>470+121+169+1177+236+99+708+250+1327</f>
        <v>4557</v>
      </c>
      <c r="H423" s="3607"/>
      <c r="I423" s="2189">
        <v>148816480</v>
      </c>
      <c r="J423" s="1071">
        <v>603653276</v>
      </c>
      <c r="K423" s="1071">
        <v>562562259</v>
      </c>
      <c r="L423" s="1071">
        <v>426443259</v>
      </c>
      <c r="M423" s="1071">
        <v>597440164</v>
      </c>
      <c r="N423" s="1071">
        <v>494976059</v>
      </c>
      <c r="O423" s="1071">
        <v>518113880</v>
      </c>
      <c r="P423" s="1071">
        <v>57602981</v>
      </c>
      <c r="Q423" s="1071">
        <v>375812291</v>
      </c>
      <c r="R423" s="3627" t="s">
        <v>2254</v>
      </c>
      <c r="S423" s="3637" t="s">
        <v>66</v>
      </c>
      <c r="T423" s="2671" t="s">
        <v>2435</v>
      </c>
      <c r="U423" s="3647">
        <v>1</v>
      </c>
      <c r="V423" s="3656">
        <v>42375</v>
      </c>
      <c r="W423" s="3663" t="s">
        <v>240</v>
      </c>
      <c r="X423" s="4368" t="s">
        <v>280</v>
      </c>
      <c r="Y423" s="132">
        <f t="shared" ca="1" si="19"/>
        <v>1.9555555555555555</v>
      </c>
    </row>
    <row r="424" spans="1:26" ht="14.1" customHeight="1" x14ac:dyDescent="0.2">
      <c r="A424" s="79">
        <v>412</v>
      </c>
      <c r="B424" s="129" t="s">
        <v>1685</v>
      </c>
      <c r="C424" s="1429" t="s">
        <v>1548</v>
      </c>
      <c r="D424" s="1802" t="s">
        <v>40</v>
      </c>
      <c r="E424" s="2008" t="s">
        <v>2130</v>
      </c>
      <c r="F424" s="3782">
        <f t="shared" si="20"/>
        <v>176.13977781217193</v>
      </c>
      <c r="G424" s="2213">
        <f>5+21+20+19+23+19+20+4+23</f>
        <v>154</v>
      </c>
      <c r="H424" s="2213"/>
      <c r="I424" s="1068">
        <v>166272001</v>
      </c>
      <c r="J424" s="1069">
        <v>584421068</v>
      </c>
      <c r="K424" s="1069">
        <v>518268582</v>
      </c>
      <c r="L424" s="1069">
        <v>397874678</v>
      </c>
      <c r="M424" s="1069">
        <v>608651166</v>
      </c>
      <c r="N424" s="1069">
        <v>498902432</v>
      </c>
      <c r="O424" s="1070">
        <v>421572078</v>
      </c>
      <c r="P424" s="1069">
        <v>72911271</v>
      </c>
      <c r="Q424" s="1069">
        <v>376144737</v>
      </c>
      <c r="R424" s="3862" t="s">
        <v>1547</v>
      </c>
      <c r="S424" s="3873" t="s">
        <v>62</v>
      </c>
      <c r="T424" s="2674" t="s">
        <v>2435</v>
      </c>
      <c r="U424" s="3888">
        <v>8</v>
      </c>
      <c r="V424" s="2126">
        <v>41620</v>
      </c>
      <c r="W424" s="2128" t="s">
        <v>417</v>
      </c>
      <c r="X424" s="4369" t="s">
        <v>246</v>
      </c>
      <c r="Y424" s="1534">
        <f t="shared" ca="1" si="19"/>
        <v>4.0222222222222221</v>
      </c>
      <c r="Z424" s="79">
        <v>412</v>
      </c>
    </row>
    <row r="425" spans="1:26" ht="14.1" customHeight="1" x14ac:dyDescent="0.25">
      <c r="A425" s="79"/>
      <c r="B425" s="3385" t="s">
        <v>1103</v>
      </c>
      <c r="C425" s="3978" t="s">
        <v>350</v>
      </c>
      <c r="D425" s="1938"/>
      <c r="E425" s="2007"/>
      <c r="F425" s="3782">
        <f t="shared" si="20"/>
        <v>176.96020916925895</v>
      </c>
      <c r="G425" s="3607"/>
      <c r="H425" s="3607"/>
      <c r="I425" s="2526">
        <v>157914044</v>
      </c>
      <c r="J425" s="2527">
        <v>594422484</v>
      </c>
      <c r="K425" s="2527">
        <v>551724028</v>
      </c>
      <c r="L425" s="2527">
        <v>427225052</v>
      </c>
      <c r="M425" s="2527">
        <v>592416284</v>
      </c>
      <c r="N425" s="2527">
        <v>491022344</v>
      </c>
      <c r="O425" s="1071">
        <v>489146168</v>
      </c>
      <c r="P425" s="2527">
        <v>69552236</v>
      </c>
      <c r="Q425" s="2527">
        <v>360661644</v>
      </c>
      <c r="R425" s="3627" t="s">
        <v>351</v>
      </c>
      <c r="S425" s="3637" t="s">
        <v>66</v>
      </c>
      <c r="T425" s="2667" t="s">
        <v>2435</v>
      </c>
      <c r="U425" s="3647">
        <v>1</v>
      </c>
      <c r="V425" s="3656">
        <v>38129</v>
      </c>
      <c r="W425" s="3663" t="s">
        <v>76</v>
      </c>
      <c r="X425" s="4368" t="s">
        <v>107</v>
      </c>
      <c r="Y425" s="132">
        <f t="shared" ca="1" si="19"/>
        <v>13.577777777777778</v>
      </c>
      <c r="Z425" s="79"/>
    </row>
    <row r="426" spans="1:26" ht="14.1" customHeight="1" x14ac:dyDescent="0.2">
      <c r="A426" s="79">
        <v>414</v>
      </c>
      <c r="B426" s="129" t="s">
        <v>1685</v>
      </c>
      <c r="C426" s="1428" t="s">
        <v>624</v>
      </c>
      <c r="D426" s="1802" t="s">
        <v>40</v>
      </c>
      <c r="E426" s="2008" t="s">
        <v>2130</v>
      </c>
      <c r="F426" s="3782">
        <f t="shared" si="20"/>
        <v>177.20437860201267</v>
      </c>
      <c r="G426" s="2135"/>
      <c r="H426" s="2135"/>
      <c r="I426" s="1299">
        <v>149012826</v>
      </c>
      <c r="J426" s="1070">
        <v>597403704</v>
      </c>
      <c r="K426" s="1070">
        <v>558983196</v>
      </c>
      <c r="L426" s="1070">
        <v>426550106</v>
      </c>
      <c r="M426" s="1070">
        <v>594745868</v>
      </c>
      <c r="N426" s="1070">
        <v>490726086</v>
      </c>
      <c r="O426" s="1070">
        <v>512545082</v>
      </c>
      <c r="P426" s="1070">
        <v>65125438</v>
      </c>
      <c r="Q426" s="1070">
        <v>386370602</v>
      </c>
      <c r="R426" s="2119" t="s">
        <v>370</v>
      </c>
      <c r="S426" s="2122" t="s">
        <v>131</v>
      </c>
      <c r="T426" s="2668" t="s">
        <v>2435</v>
      </c>
      <c r="U426" s="2124">
        <v>1</v>
      </c>
      <c r="V426" s="2126">
        <v>33179</v>
      </c>
      <c r="W426" s="2128" t="s">
        <v>73</v>
      </c>
      <c r="X426" s="4369" t="s">
        <v>371</v>
      </c>
      <c r="Y426" s="1534">
        <f t="shared" ca="1" si="19"/>
        <v>27.133333333333333</v>
      </c>
      <c r="Z426" s="79">
        <v>414</v>
      </c>
    </row>
    <row r="427" spans="1:26" ht="14.1" customHeight="1" x14ac:dyDescent="0.2">
      <c r="A427" s="79"/>
      <c r="B427" s="3589" t="s">
        <v>1685</v>
      </c>
      <c r="C427" s="3680" t="s">
        <v>2197</v>
      </c>
      <c r="D427" s="1349" t="s">
        <v>40</v>
      </c>
      <c r="E427" s="2009" t="s">
        <v>2130</v>
      </c>
      <c r="F427" s="3782">
        <f t="shared" si="20"/>
        <v>177.53555304400038</v>
      </c>
      <c r="G427" s="2370">
        <f>471.2+759.3+190.1+101.3+212.2+25.6+6063.9+177.6+263</f>
        <v>8264.2000000000007</v>
      </c>
      <c r="H427" s="2137"/>
      <c r="I427" s="836">
        <v>152433597</v>
      </c>
      <c r="J427" s="1290">
        <v>599930854</v>
      </c>
      <c r="K427" s="1290">
        <v>557322761</v>
      </c>
      <c r="L427" s="1290">
        <v>413629928</v>
      </c>
      <c r="M427" s="1290">
        <v>593143650</v>
      </c>
      <c r="N427" s="1290">
        <v>489000061</v>
      </c>
      <c r="O427" s="1291">
        <v>512041820</v>
      </c>
      <c r="P427" s="1290">
        <v>61772117</v>
      </c>
      <c r="Q427" s="1292">
        <v>364573381</v>
      </c>
      <c r="R427" s="2138" t="s">
        <v>2198</v>
      </c>
      <c r="S427" s="2370" t="s">
        <v>66</v>
      </c>
      <c r="T427" s="2670" t="s">
        <v>2435</v>
      </c>
      <c r="U427" s="2140">
        <v>1</v>
      </c>
      <c r="V427" s="2142">
        <v>42625</v>
      </c>
      <c r="W427" s="2143" t="s">
        <v>2199</v>
      </c>
      <c r="X427" s="4372" t="s">
        <v>280</v>
      </c>
      <c r="Y427" s="2107">
        <f t="shared" ca="1" si="19"/>
        <v>1.2722222222222221</v>
      </c>
      <c r="Z427" s="79"/>
    </row>
    <row r="428" spans="1:26" ht="14.1" customHeight="1" x14ac:dyDescent="0.2">
      <c r="A428" s="79">
        <v>416</v>
      </c>
      <c r="B428" s="129" t="s">
        <v>1685</v>
      </c>
      <c r="C428" s="1429" t="s">
        <v>551</v>
      </c>
      <c r="D428" s="1802" t="s">
        <v>40</v>
      </c>
      <c r="E428" s="2008" t="s">
        <v>2130</v>
      </c>
      <c r="F428" s="3782">
        <f t="shared" si="20"/>
        <v>178.50439533170206</v>
      </c>
      <c r="G428" s="2213"/>
      <c r="H428" s="3849"/>
      <c r="I428" s="1299">
        <v>157457532</v>
      </c>
      <c r="J428" s="1070">
        <v>602172336</v>
      </c>
      <c r="K428" s="1070">
        <v>559043798</v>
      </c>
      <c r="L428" s="1070">
        <v>427039210</v>
      </c>
      <c r="M428" s="1070">
        <v>595427627</v>
      </c>
      <c r="N428" s="1070">
        <v>490100815</v>
      </c>
      <c r="O428" s="1070">
        <v>517148030</v>
      </c>
      <c r="P428" s="1070">
        <v>64159907</v>
      </c>
      <c r="Q428" s="1070">
        <v>385151701</v>
      </c>
      <c r="R428" s="2119" t="s">
        <v>550</v>
      </c>
      <c r="S428" s="2213" t="s">
        <v>66</v>
      </c>
      <c r="T428" s="2674" t="s">
        <v>2435</v>
      </c>
      <c r="U428" s="2124">
        <v>1</v>
      </c>
      <c r="V428" s="2126">
        <v>40525</v>
      </c>
      <c r="W428" s="2128" t="s">
        <v>181</v>
      </c>
      <c r="X428" s="4369" t="s">
        <v>280</v>
      </c>
      <c r="Y428" s="1534">
        <f t="shared" ca="1" si="19"/>
        <v>7.0194444444444448</v>
      </c>
      <c r="Z428" s="79">
        <v>416</v>
      </c>
    </row>
    <row r="429" spans="1:26" ht="14.1" customHeight="1" x14ac:dyDescent="0.2">
      <c r="A429" s="79"/>
      <c r="B429" s="2225" t="s">
        <v>1685</v>
      </c>
      <c r="C429" s="1206" t="s">
        <v>2125</v>
      </c>
      <c r="D429" s="1349" t="s">
        <v>40</v>
      </c>
      <c r="E429" s="2009" t="s">
        <v>2130</v>
      </c>
      <c r="F429" s="3782">
        <f t="shared" si="20"/>
        <v>179.87178745363303</v>
      </c>
      <c r="G429" s="2370">
        <f>13+27+30+37+26+22+32+8+47</f>
        <v>242</v>
      </c>
      <c r="H429" s="2137"/>
      <c r="I429" s="836">
        <v>144665321</v>
      </c>
      <c r="J429" s="1290">
        <v>613295104</v>
      </c>
      <c r="K429" s="1290">
        <v>573430595</v>
      </c>
      <c r="L429" s="1290">
        <v>447702795</v>
      </c>
      <c r="M429" s="1290">
        <v>598723303</v>
      </c>
      <c r="N429" s="1290">
        <v>495234579</v>
      </c>
      <c r="O429" s="1291">
        <v>537565649</v>
      </c>
      <c r="P429" s="1290">
        <v>64804362</v>
      </c>
      <c r="Q429" s="1292">
        <v>391020846</v>
      </c>
      <c r="R429" s="2138" t="s">
        <v>2126</v>
      </c>
      <c r="S429" s="2370" t="s">
        <v>66</v>
      </c>
      <c r="T429" s="2670" t="s">
        <v>2435</v>
      </c>
      <c r="U429" s="2140">
        <v>1</v>
      </c>
      <c r="V429" s="2142">
        <v>42300</v>
      </c>
      <c r="W429" s="2143" t="s">
        <v>285</v>
      </c>
      <c r="X429" s="4372" t="s">
        <v>280</v>
      </c>
      <c r="Y429" s="2107">
        <f t="shared" ca="1" si="19"/>
        <v>2.1583333333333332</v>
      </c>
      <c r="Z429" s="79"/>
    </row>
    <row r="430" spans="1:26" ht="14.1" customHeight="1" x14ac:dyDescent="0.25">
      <c r="A430" s="79">
        <v>418</v>
      </c>
      <c r="B430" s="129" t="s">
        <v>1685</v>
      </c>
      <c r="C430" s="3128" t="s">
        <v>1769</v>
      </c>
      <c r="D430" s="1794"/>
      <c r="E430" s="2008" t="s">
        <v>2130</v>
      </c>
      <c r="F430" s="3782">
        <f t="shared" si="20"/>
        <v>180.11713141710734</v>
      </c>
      <c r="G430" s="2135"/>
      <c r="H430" s="2135"/>
      <c r="I430" s="1299">
        <v>172936657</v>
      </c>
      <c r="J430" s="1070">
        <v>681391203</v>
      </c>
      <c r="K430" s="1070">
        <v>614642180</v>
      </c>
      <c r="L430" s="1070">
        <v>401244546</v>
      </c>
      <c r="M430" s="1070">
        <v>711127696</v>
      </c>
      <c r="N430" s="1070">
        <v>580529019</v>
      </c>
      <c r="O430" s="1070">
        <v>438014407</v>
      </c>
      <c r="P430" s="1070">
        <v>72511166</v>
      </c>
      <c r="Q430" s="1070">
        <v>277990711</v>
      </c>
      <c r="R430" s="2119" t="s">
        <v>379</v>
      </c>
      <c r="S430" s="2122" t="s">
        <v>66</v>
      </c>
      <c r="T430" s="2668" t="s">
        <v>2435</v>
      </c>
      <c r="U430" s="2124">
        <v>1</v>
      </c>
      <c r="V430" s="2126">
        <v>39378</v>
      </c>
      <c r="W430" s="2128" t="s">
        <v>98</v>
      </c>
      <c r="X430" s="4369" t="s">
        <v>380</v>
      </c>
      <c r="Y430" s="1534">
        <f t="shared" ca="1" si="19"/>
        <v>10.158333333333333</v>
      </c>
      <c r="Z430" s="79">
        <v>418</v>
      </c>
    </row>
    <row r="431" spans="1:26" ht="14.1" customHeight="1" x14ac:dyDescent="0.2">
      <c r="A431" s="79"/>
      <c r="B431" s="978" t="s">
        <v>1686</v>
      </c>
      <c r="C431" s="1209" t="s">
        <v>707</v>
      </c>
      <c r="D431" s="1349"/>
      <c r="E431" s="2009" t="s">
        <v>2130</v>
      </c>
      <c r="F431" s="3782">
        <f t="shared" si="20"/>
        <v>180.16570052799418</v>
      </c>
      <c r="G431" s="2547"/>
      <c r="H431" s="2547"/>
      <c r="I431" s="840">
        <v>156074027</v>
      </c>
      <c r="J431" s="1291">
        <v>573977769</v>
      </c>
      <c r="K431" s="1291">
        <v>537814040</v>
      </c>
      <c r="L431" s="1291">
        <v>438834503</v>
      </c>
      <c r="M431" s="1291">
        <v>596429024</v>
      </c>
      <c r="N431" s="1291">
        <v>490738753</v>
      </c>
      <c r="O431" s="1291">
        <v>478931485</v>
      </c>
      <c r="P431" s="1291">
        <v>68954525</v>
      </c>
      <c r="Q431" s="1291">
        <v>419318894</v>
      </c>
      <c r="R431" s="2130" t="s">
        <v>708</v>
      </c>
      <c r="S431" s="2131" t="s">
        <v>131</v>
      </c>
      <c r="T431" s="2665" t="s">
        <v>2435</v>
      </c>
      <c r="U431" s="2132">
        <v>1</v>
      </c>
      <c r="V431" s="2133">
        <v>33872</v>
      </c>
      <c r="W431" s="2134" t="s">
        <v>76</v>
      </c>
      <c r="X431" s="4373" t="s">
        <v>711</v>
      </c>
      <c r="Y431" s="2107">
        <f t="shared" ca="1" si="19"/>
        <v>25.236111111111111</v>
      </c>
      <c r="Z431" s="79"/>
    </row>
    <row r="432" spans="1:26" ht="14.1" customHeight="1" x14ac:dyDescent="0.2">
      <c r="A432" s="79">
        <v>420</v>
      </c>
      <c r="B432" s="133" t="s">
        <v>1685</v>
      </c>
      <c r="C432" s="1233" t="s">
        <v>1581</v>
      </c>
      <c r="D432" s="1349"/>
      <c r="E432" s="2008" t="s">
        <v>2130</v>
      </c>
      <c r="F432" s="3782">
        <f t="shared" si="20"/>
        <v>180.78128174217161</v>
      </c>
      <c r="G432" s="2227">
        <f>263+256+254+373+294+229+336+139+688</f>
        <v>2832</v>
      </c>
      <c r="H432" s="2547"/>
      <c r="I432" s="836">
        <v>157507918</v>
      </c>
      <c r="J432" s="1290">
        <v>577149214</v>
      </c>
      <c r="K432" s="1290">
        <v>540393875</v>
      </c>
      <c r="L432" s="1290">
        <v>440770959</v>
      </c>
      <c r="M432" s="1290">
        <v>594521197</v>
      </c>
      <c r="N432" s="1290">
        <v>488972129</v>
      </c>
      <c r="O432" s="1291">
        <v>483192089</v>
      </c>
      <c r="P432" s="1290">
        <v>68166964</v>
      </c>
      <c r="Q432" s="1290">
        <v>409052895</v>
      </c>
      <c r="R432" s="2130" t="s">
        <v>1578</v>
      </c>
      <c r="S432" s="2131" t="s">
        <v>66</v>
      </c>
      <c r="T432" s="2665" t="s">
        <v>2435</v>
      </c>
      <c r="U432" s="2132">
        <v>1</v>
      </c>
      <c r="V432" s="2133">
        <v>41716</v>
      </c>
      <c r="W432" s="2134" t="s">
        <v>73</v>
      </c>
      <c r="X432" s="4374" t="s">
        <v>280</v>
      </c>
      <c r="Y432" s="2107">
        <f t="shared" ca="1" si="19"/>
        <v>3.7555555555555555</v>
      </c>
      <c r="Z432" s="79">
        <v>420</v>
      </c>
    </row>
    <row r="433" spans="1:26" ht="14.1" customHeight="1" x14ac:dyDescent="0.2">
      <c r="B433" s="2502" t="s">
        <v>1685</v>
      </c>
      <c r="C433" s="3979" t="s">
        <v>2176</v>
      </c>
      <c r="D433" s="1954" t="s">
        <v>40</v>
      </c>
      <c r="E433" s="2009" t="s">
        <v>2130</v>
      </c>
      <c r="F433" s="3782">
        <f t="shared" si="20"/>
        <v>181.21218768231984</v>
      </c>
      <c r="G433" s="3841">
        <f>510.77+5223.1+4605.3+2260.3+4755.7+4013.4+1619.3+148.2+325.1</f>
        <v>23461.170000000002</v>
      </c>
      <c r="H433" s="3411"/>
      <c r="I433" s="2283">
        <v>154487294</v>
      </c>
      <c r="J433" s="1515">
        <v>629370880</v>
      </c>
      <c r="K433" s="1515">
        <v>550129664</v>
      </c>
      <c r="L433" s="1515">
        <v>384454656</v>
      </c>
      <c r="M433" s="1515">
        <v>675983360</v>
      </c>
      <c r="N433" s="1515">
        <v>552857600</v>
      </c>
      <c r="O433" s="1515">
        <v>400515072</v>
      </c>
      <c r="P433" s="1515">
        <v>67780608</v>
      </c>
      <c r="Q433" s="1515">
        <v>322981888</v>
      </c>
      <c r="R433" s="2831" t="s">
        <v>2186</v>
      </c>
      <c r="S433" s="3841" t="s">
        <v>66</v>
      </c>
      <c r="T433" s="2672" t="s">
        <v>2435</v>
      </c>
      <c r="U433" s="2372">
        <v>1</v>
      </c>
      <c r="V433" s="2839">
        <v>42272</v>
      </c>
      <c r="W433" s="2843" t="s">
        <v>121</v>
      </c>
      <c r="X433" s="4375" t="s">
        <v>2189</v>
      </c>
      <c r="Y433" s="2144">
        <f t="shared" ca="1" si="19"/>
        <v>2.2361111111111112</v>
      </c>
    </row>
    <row r="434" spans="1:26" ht="14.1" customHeight="1" x14ac:dyDescent="0.2">
      <c r="A434" s="79">
        <v>422</v>
      </c>
      <c r="B434" s="129" t="s">
        <v>1685</v>
      </c>
      <c r="C434" s="3397" t="s">
        <v>1077</v>
      </c>
      <c r="D434" s="1802" t="s">
        <v>40</v>
      </c>
      <c r="E434" s="2008" t="s">
        <v>2130</v>
      </c>
      <c r="F434" s="3782">
        <f t="shared" si="20"/>
        <v>183.32301127110884</v>
      </c>
      <c r="G434" s="2213">
        <f>104+134+104+214+131+74+168+45+240</f>
        <v>1214</v>
      </c>
      <c r="H434" s="2213"/>
      <c r="I434" s="1299">
        <v>158090980</v>
      </c>
      <c r="J434" s="1070">
        <v>700838346</v>
      </c>
      <c r="K434" s="1070">
        <v>621124881</v>
      </c>
      <c r="L434" s="1070">
        <v>425409492</v>
      </c>
      <c r="M434" s="1070">
        <v>729735998</v>
      </c>
      <c r="N434" s="1070">
        <v>599469278</v>
      </c>
      <c r="O434" s="1070">
        <v>481961257</v>
      </c>
      <c r="P434" s="1070">
        <v>62567819</v>
      </c>
      <c r="Q434" s="1070">
        <v>331269997</v>
      </c>
      <c r="R434" s="2119" t="s">
        <v>1076</v>
      </c>
      <c r="S434" s="2213" t="s">
        <v>66</v>
      </c>
      <c r="T434" s="2674" t="s">
        <v>2435</v>
      </c>
      <c r="U434" s="2124">
        <v>1</v>
      </c>
      <c r="V434" s="2126">
        <v>39647</v>
      </c>
      <c r="W434" s="2128" t="s">
        <v>836</v>
      </c>
      <c r="X434" s="4369" t="s">
        <v>1075</v>
      </c>
      <c r="Y434" s="1534">
        <f t="shared" ca="1" si="19"/>
        <v>9.4222222222222225</v>
      </c>
      <c r="Z434" s="79">
        <v>422</v>
      </c>
    </row>
    <row r="435" spans="1:26" ht="14.1" customHeight="1" x14ac:dyDescent="0.25">
      <c r="B435" s="978" t="s">
        <v>1685</v>
      </c>
      <c r="C435" s="3398" t="s">
        <v>1205</v>
      </c>
      <c r="D435" s="1938"/>
      <c r="E435" s="2007" t="s">
        <v>2130</v>
      </c>
      <c r="F435" s="3782">
        <f t="shared" si="20"/>
        <v>183.73395047546924</v>
      </c>
      <c r="G435" s="2137"/>
      <c r="H435" s="2137"/>
      <c r="I435" s="836">
        <v>148014069</v>
      </c>
      <c r="J435" s="1290">
        <v>653678795</v>
      </c>
      <c r="K435" s="1290">
        <v>593672817</v>
      </c>
      <c r="L435" s="1290">
        <v>454824337</v>
      </c>
      <c r="M435" s="1290">
        <v>658835333</v>
      </c>
      <c r="N435" s="1290">
        <v>542961081</v>
      </c>
      <c r="O435" s="1291">
        <v>511725857</v>
      </c>
      <c r="P435" s="1290">
        <v>66042985</v>
      </c>
      <c r="Q435" s="1290">
        <v>382852238</v>
      </c>
      <c r="R435" s="2138" t="s">
        <v>391</v>
      </c>
      <c r="S435" s="2139" t="s">
        <v>131</v>
      </c>
      <c r="T435" s="2663" t="s">
        <v>2435</v>
      </c>
      <c r="U435" s="2140">
        <v>1</v>
      </c>
      <c r="V435" s="2269">
        <v>38188</v>
      </c>
      <c r="W435" s="2143" t="s">
        <v>73</v>
      </c>
      <c r="X435" s="4372" t="s">
        <v>392</v>
      </c>
      <c r="Y435" s="2107">
        <f t="shared" ca="1" si="19"/>
        <v>13.416666666666666</v>
      </c>
    </row>
    <row r="436" spans="1:26" ht="14.1" customHeight="1" x14ac:dyDescent="0.25">
      <c r="A436" s="79">
        <v>424</v>
      </c>
      <c r="B436" s="1000" t="s">
        <v>1685</v>
      </c>
      <c r="C436" s="1424" t="s">
        <v>381</v>
      </c>
      <c r="D436" s="1955"/>
      <c r="E436" s="2010"/>
      <c r="F436" s="3782">
        <f t="shared" si="20"/>
        <v>183.92557902615647</v>
      </c>
      <c r="G436" s="2035"/>
      <c r="H436" s="2035"/>
      <c r="I436" s="1068">
        <v>176645361</v>
      </c>
      <c r="J436" s="1069">
        <v>604513821</v>
      </c>
      <c r="K436" s="1069">
        <v>571685309</v>
      </c>
      <c r="L436" s="1069">
        <v>449838949</v>
      </c>
      <c r="M436" s="1069">
        <v>595402681</v>
      </c>
      <c r="N436" s="1069">
        <v>492148770</v>
      </c>
      <c r="O436" s="1070">
        <v>526388609</v>
      </c>
      <c r="P436" s="1069">
        <v>65513171</v>
      </c>
      <c r="Q436" s="1069">
        <v>385409574</v>
      </c>
      <c r="R436" s="1932" t="s">
        <v>382</v>
      </c>
      <c r="S436" s="1936" t="s">
        <v>131</v>
      </c>
      <c r="T436" s="2662" t="s">
        <v>2435</v>
      </c>
      <c r="U436" s="1933">
        <v>1</v>
      </c>
      <c r="V436" s="1934">
        <v>33213</v>
      </c>
      <c r="W436" s="1935" t="s">
        <v>71</v>
      </c>
      <c r="X436" s="4376" t="s">
        <v>107</v>
      </c>
      <c r="Y436" s="1534">
        <f t="shared" ref="Y436:Y499" ca="1" si="21">YEARFRAC(V436,Y$6)</f>
        <v>27.038888888888888</v>
      </c>
      <c r="Z436" s="79">
        <v>424</v>
      </c>
    </row>
    <row r="437" spans="1:26" ht="14.1" customHeight="1" x14ac:dyDescent="0.25">
      <c r="B437" s="3589" t="s">
        <v>1685</v>
      </c>
      <c r="C437" s="1208" t="s">
        <v>386</v>
      </c>
      <c r="D437" s="1940"/>
      <c r="E437" s="2007" t="s">
        <v>2130</v>
      </c>
      <c r="F437" s="3782">
        <f t="shared" si="20"/>
        <v>184.08144762233485</v>
      </c>
      <c r="G437" s="2137"/>
      <c r="H437" s="2137"/>
      <c r="I437" s="836">
        <v>156683423</v>
      </c>
      <c r="J437" s="1290">
        <v>606693416</v>
      </c>
      <c r="K437" s="1290">
        <v>577854464</v>
      </c>
      <c r="L437" s="1290">
        <v>460939462</v>
      </c>
      <c r="M437" s="1290">
        <v>609160704</v>
      </c>
      <c r="N437" s="1290">
        <v>492148736</v>
      </c>
      <c r="O437" s="1291">
        <v>524743104</v>
      </c>
      <c r="P437" s="1290">
        <v>69265389</v>
      </c>
      <c r="Q437" s="1290">
        <v>399527117</v>
      </c>
      <c r="R437" s="2138" t="s">
        <v>387</v>
      </c>
      <c r="S437" s="2139" t="s">
        <v>131</v>
      </c>
      <c r="T437" s="2663" t="s">
        <v>2435</v>
      </c>
      <c r="U437" s="2140">
        <v>1</v>
      </c>
      <c r="V437" s="2269">
        <v>34318</v>
      </c>
      <c r="W437" s="2143" t="s">
        <v>76</v>
      </c>
      <c r="X437" s="4372" t="s">
        <v>107</v>
      </c>
      <c r="Y437" s="2107">
        <f t="shared" ca="1" si="21"/>
        <v>24.013888888888889</v>
      </c>
    </row>
    <row r="438" spans="1:26" ht="14.1" customHeight="1" x14ac:dyDescent="0.25">
      <c r="A438" s="79">
        <v>426</v>
      </c>
      <c r="B438" s="1000" t="s">
        <v>1685</v>
      </c>
      <c r="C438" s="1424" t="s">
        <v>342</v>
      </c>
      <c r="D438" s="1955"/>
      <c r="E438" s="2010"/>
      <c r="F438" s="3782">
        <f t="shared" si="20"/>
        <v>184.21069127768453</v>
      </c>
      <c r="G438" s="2035"/>
      <c r="H438" s="2035"/>
      <c r="I438" s="1068">
        <v>226438387</v>
      </c>
      <c r="J438" s="1069">
        <v>604202398</v>
      </c>
      <c r="K438" s="1069">
        <v>547605043</v>
      </c>
      <c r="L438" s="1069">
        <v>635167573</v>
      </c>
      <c r="M438" s="1069">
        <v>593714653</v>
      </c>
      <c r="N438" s="1069">
        <v>492262742</v>
      </c>
      <c r="O438" s="1070">
        <v>376985641</v>
      </c>
      <c r="P438" s="1069">
        <v>55093521</v>
      </c>
      <c r="Q438" s="1069">
        <v>323962016</v>
      </c>
      <c r="R438" s="1932" t="s">
        <v>343</v>
      </c>
      <c r="S438" s="1936" t="s">
        <v>131</v>
      </c>
      <c r="T438" s="2662" t="s">
        <v>2435</v>
      </c>
      <c r="U438" s="1933">
        <v>1</v>
      </c>
      <c r="V438" s="1934">
        <v>35201</v>
      </c>
      <c r="W438" s="1935" t="s">
        <v>297</v>
      </c>
      <c r="X438" s="4376" t="s">
        <v>692</v>
      </c>
      <c r="Y438" s="1534">
        <f t="shared" ca="1" si="21"/>
        <v>21.594444444444445</v>
      </c>
      <c r="Z438" s="79">
        <v>426</v>
      </c>
    </row>
    <row r="439" spans="1:26" ht="14.1" customHeight="1" x14ac:dyDescent="0.25">
      <c r="B439" s="985" t="s">
        <v>1103</v>
      </c>
      <c r="C439" s="1208" t="s">
        <v>1650</v>
      </c>
      <c r="D439" s="1940"/>
      <c r="E439" s="2007"/>
      <c r="F439" s="3782">
        <f t="shared" si="20"/>
        <v>185.20370843951841</v>
      </c>
      <c r="G439" s="2137"/>
      <c r="H439" s="2137"/>
      <c r="I439" s="836">
        <v>156721691</v>
      </c>
      <c r="J439" s="1290">
        <v>606693486</v>
      </c>
      <c r="K439" s="1290">
        <v>577823670</v>
      </c>
      <c r="L439" s="1290">
        <v>503220158</v>
      </c>
      <c r="M439" s="1290">
        <v>609160812</v>
      </c>
      <c r="N439" s="1290">
        <v>492148854</v>
      </c>
      <c r="O439" s="1291">
        <v>499915176</v>
      </c>
      <c r="P439" s="1290">
        <v>69703966</v>
      </c>
      <c r="Q439" s="1290">
        <v>402540441</v>
      </c>
      <c r="R439" s="2138" t="s">
        <v>109</v>
      </c>
      <c r="S439" s="2139" t="s">
        <v>131</v>
      </c>
      <c r="T439" s="2663" t="s">
        <v>2435</v>
      </c>
      <c r="U439" s="2140">
        <v>1</v>
      </c>
      <c r="V439" s="2142">
        <v>32947</v>
      </c>
      <c r="W439" s="2143" t="s">
        <v>76</v>
      </c>
      <c r="X439" s="4372" t="s">
        <v>384</v>
      </c>
      <c r="Y439" s="2107">
        <f t="shared" ca="1" si="21"/>
        <v>27.763888888888889</v>
      </c>
    </row>
    <row r="440" spans="1:26" ht="14.1" customHeight="1" x14ac:dyDescent="0.2">
      <c r="A440" s="79">
        <v>428</v>
      </c>
      <c r="B440" s="1000" t="s">
        <v>1685</v>
      </c>
      <c r="C440" s="1235" t="s">
        <v>2615</v>
      </c>
      <c r="D440" s="1802" t="s">
        <v>40</v>
      </c>
      <c r="E440" s="2008"/>
      <c r="F440" s="3782">
        <f t="shared" si="20"/>
        <v>185.41030619007455</v>
      </c>
      <c r="G440" s="2265">
        <f>317.56+308.01+285.64+405.87+275.35+215.38+357.24+273.88+567.76</f>
        <v>3006.6900000000005</v>
      </c>
      <c r="H440" s="2035"/>
      <c r="I440" s="1068">
        <v>163924179</v>
      </c>
      <c r="J440" s="1069">
        <v>586508199</v>
      </c>
      <c r="K440" s="1069">
        <v>535510414</v>
      </c>
      <c r="L440" s="1069">
        <v>451469703</v>
      </c>
      <c r="M440" s="1069">
        <v>595711310</v>
      </c>
      <c r="N440" s="1069">
        <v>488174316</v>
      </c>
      <c r="O440" s="1070">
        <v>475916744</v>
      </c>
      <c r="P440" s="1069">
        <v>75728696</v>
      </c>
      <c r="Q440" s="2268">
        <v>414530587</v>
      </c>
      <c r="R440" s="1932" t="s">
        <v>109</v>
      </c>
      <c r="S440" s="1936" t="s">
        <v>66</v>
      </c>
      <c r="T440" s="2662" t="s">
        <v>2435</v>
      </c>
      <c r="U440" s="1933">
        <v>1</v>
      </c>
      <c r="V440" s="1934">
        <v>42460</v>
      </c>
      <c r="W440" s="1935" t="s">
        <v>73</v>
      </c>
      <c r="X440" s="4376" t="s">
        <v>396</v>
      </c>
      <c r="Y440" s="1534">
        <f t="shared" ca="1" si="21"/>
        <v>1.7222222222222223</v>
      </c>
      <c r="Z440" s="79">
        <v>428</v>
      </c>
    </row>
    <row r="441" spans="1:26" ht="14.1" customHeight="1" x14ac:dyDescent="0.25">
      <c r="B441" s="2225" t="s">
        <v>1685</v>
      </c>
      <c r="C441" s="3205" t="s">
        <v>556</v>
      </c>
      <c r="D441" s="3399"/>
      <c r="E441" s="2602"/>
      <c r="F441" s="3782">
        <f t="shared" si="20"/>
        <v>185.56908232159341</v>
      </c>
      <c r="G441" s="2227">
        <f>24.086+18.875+20.1+32.245+21.559+11.575+14.398+33.4+24.5</f>
        <v>200.738</v>
      </c>
      <c r="H441" s="2547"/>
      <c r="I441" s="840">
        <v>162368147</v>
      </c>
      <c r="J441" s="1290">
        <v>599535798</v>
      </c>
      <c r="K441" s="1291">
        <v>569564510</v>
      </c>
      <c r="L441" s="1291">
        <v>462059456</v>
      </c>
      <c r="M441" s="1291">
        <v>608872478</v>
      </c>
      <c r="N441" s="1291">
        <v>491191099</v>
      </c>
      <c r="O441" s="1291">
        <v>533570647</v>
      </c>
      <c r="P441" s="1291">
        <v>71610827</v>
      </c>
      <c r="Q441" s="1291">
        <v>395493110</v>
      </c>
      <c r="R441" s="3420" t="s">
        <v>557</v>
      </c>
      <c r="S441" s="3427" t="s">
        <v>62</v>
      </c>
      <c r="T441" s="3431" t="s">
        <v>2435</v>
      </c>
      <c r="U441" s="3437">
        <v>8</v>
      </c>
      <c r="V441" s="3445">
        <v>40444</v>
      </c>
      <c r="W441" s="3453" t="s">
        <v>383</v>
      </c>
      <c r="X441" s="4377" t="s">
        <v>1408</v>
      </c>
      <c r="Y441" s="2107">
        <f t="shared" ca="1" si="21"/>
        <v>7.2416666666666663</v>
      </c>
    </row>
    <row r="442" spans="1:26" ht="14.1" customHeight="1" x14ac:dyDescent="0.25">
      <c r="A442" s="79">
        <v>430</v>
      </c>
      <c r="B442" s="129" t="s">
        <v>1685</v>
      </c>
      <c r="C442" s="2609" t="s">
        <v>918</v>
      </c>
      <c r="D442" s="1794"/>
      <c r="E442" s="2008" t="s">
        <v>2130</v>
      </c>
      <c r="F442" s="3782">
        <f t="shared" si="20"/>
        <v>185.97841943152548</v>
      </c>
      <c r="G442" s="2213">
        <f>420+878+632+704+305+236+462+265+1236</f>
        <v>5138</v>
      </c>
      <c r="H442" s="2135"/>
      <c r="I442" s="1068">
        <v>163301501</v>
      </c>
      <c r="J442" s="1069">
        <v>582222968</v>
      </c>
      <c r="K442" s="1069">
        <v>559800547</v>
      </c>
      <c r="L442" s="1069">
        <v>441175015</v>
      </c>
      <c r="M442" s="1069">
        <v>598705385</v>
      </c>
      <c r="N442" s="1069">
        <v>491751882</v>
      </c>
      <c r="O442" s="1070">
        <v>503098233</v>
      </c>
      <c r="P442" s="1069">
        <v>73413121</v>
      </c>
      <c r="Q442" s="1069">
        <v>405888060</v>
      </c>
      <c r="R442" s="2119" t="s">
        <v>414</v>
      </c>
      <c r="S442" s="2122" t="s">
        <v>131</v>
      </c>
      <c r="T442" s="2668" t="s">
        <v>2435</v>
      </c>
      <c r="U442" s="2124">
        <v>1</v>
      </c>
      <c r="V442" s="2126">
        <v>36465</v>
      </c>
      <c r="W442" s="2128" t="s">
        <v>76</v>
      </c>
      <c r="X442" s="4369" t="s">
        <v>107</v>
      </c>
      <c r="Y442" s="1534">
        <f t="shared" ca="1" si="21"/>
        <v>18.136111111111113</v>
      </c>
      <c r="Z442" s="79">
        <v>430</v>
      </c>
    </row>
    <row r="443" spans="1:26" ht="14.1" customHeight="1" x14ac:dyDescent="0.25">
      <c r="B443" s="978" t="s">
        <v>1685</v>
      </c>
      <c r="C443" s="1206" t="s">
        <v>1651</v>
      </c>
      <c r="D443" s="1938"/>
      <c r="E443" s="2007"/>
      <c r="F443" s="3782">
        <f t="shared" si="20"/>
        <v>186.28510432607561</v>
      </c>
      <c r="G443" s="2137"/>
      <c r="H443" s="2137"/>
      <c r="I443" s="836">
        <v>132108152</v>
      </c>
      <c r="J443" s="1290">
        <v>625020330</v>
      </c>
      <c r="K443" s="1290">
        <v>577557428</v>
      </c>
      <c r="L443" s="3620">
        <v>421543283</v>
      </c>
      <c r="M443" s="1290">
        <v>647658954</v>
      </c>
      <c r="N443" s="3620">
        <v>535061976</v>
      </c>
      <c r="O443" s="1291">
        <v>479364367</v>
      </c>
      <c r="P443" s="1290">
        <v>93353819</v>
      </c>
      <c r="Q443" s="1290">
        <v>379811544</v>
      </c>
      <c r="R443" s="2138" t="s">
        <v>255</v>
      </c>
      <c r="S443" s="2139" t="s">
        <v>66</v>
      </c>
      <c r="T443" s="2670" t="s">
        <v>2435</v>
      </c>
      <c r="U443" s="2140">
        <v>1</v>
      </c>
      <c r="V443" s="2269">
        <v>37547</v>
      </c>
      <c r="W443" s="2143" t="s">
        <v>278</v>
      </c>
      <c r="X443" s="4372" t="s">
        <v>374</v>
      </c>
      <c r="Y443" s="2107">
        <f t="shared" ca="1" si="21"/>
        <v>15.172222222222222</v>
      </c>
    </row>
    <row r="444" spans="1:26" ht="14.1" customHeight="1" x14ac:dyDescent="0.25">
      <c r="A444" s="79">
        <v>432</v>
      </c>
      <c r="B444" s="2740" t="s">
        <v>1685</v>
      </c>
      <c r="C444" s="1429" t="s">
        <v>766</v>
      </c>
      <c r="D444" s="1794"/>
      <c r="E444" s="2008" t="s">
        <v>2130</v>
      </c>
      <c r="F444" s="3782">
        <f t="shared" si="20"/>
        <v>186.37167766725634</v>
      </c>
      <c r="G444" s="3608">
        <f>6.08+13.92+13.36+14.86+13.91+10.86+15.63+4.09+18.05</f>
        <v>110.75999999999999</v>
      </c>
      <c r="H444" s="3608"/>
      <c r="I444" s="1299">
        <v>163145709</v>
      </c>
      <c r="J444" s="1069">
        <v>601807761</v>
      </c>
      <c r="K444" s="1069">
        <v>572174103</v>
      </c>
      <c r="L444" s="1069">
        <v>460372409</v>
      </c>
      <c r="M444" s="1069">
        <v>598252514</v>
      </c>
      <c r="N444" s="1069">
        <v>491659686</v>
      </c>
      <c r="O444" s="1070">
        <v>545516169</v>
      </c>
      <c r="P444" s="1070">
        <v>65708379</v>
      </c>
      <c r="Q444" s="1069">
        <v>427484718</v>
      </c>
      <c r="R444" s="2119" t="s">
        <v>765</v>
      </c>
      <c r="S444" s="2122" t="s">
        <v>66</v>
      </c>
      <c r="T444" s="2674" t="s">
        <v>2435</v>
      </c>
      <c r="U444" s="2124">
        <v>1</v>
      </c>
      <c r="V444" s="2126">
        <v>40621</v>
      </c>
      <c r="W444" s="3664" t="s">
        <v>181</v>
      </c>
      <c r="X444" s="4369" t="s">
        <v>767</v>
      </c>
      <c r="Y444" s="1534">
        <f t="shared" ca="1" si="21"/>
        <v>6.7527777777777782</v>
      </c>
      <c r="Z444" s="79">
        <v>432</v>
      </c>
    </row>
    <row r="445" spans="1:26" ht="14.1" customHeight="1" x14ac:dyDescent="0.2">
      <c r="A445" s="79"/>
      <c r="B445" s="978" t="s">
        <v>1685</v>
      </c>
      <c r="C445" s="1206" t="s">
        <v>2616</v>
      </c>
      <c r="D445" s="1349" t="s">
        <v>40</v>
      </c>
      <c r="E445" s="2009" t="s">
        <v>2130</v>
      </c>
      <c r="F445" s="3782">
        <f t="shared" si="20"/>
        <v>186.45532386455346</v>
      </c>
      <c r="G445" s="2370">
        <f>141.7+884.1+786.4+415.1+1051.2+880.6+496+58.6+169.2</f>
        <v>4882.9000000000005</v>
      </c>
      <c r="H445" s="2137"/>
      <c r="I445" s="836">
        <v>163112152</v>
      </c>
      <c r="J445" s="1290">
        <v>649741958</v>
      </c>
      <c r="K445" s="1290">
        <v>580866454</v>
      </c>
      <c r="L445" s="1290">
        <v>437753659</v>
      </c>
      <c r="M445" s="1290">
        <v>719483165</v>
      </c>
      <c r="N445" s="1290">
        <v>587579351</v>
      </c>
      <c r="O445" s="1291">
        <v>414346241</v>
      </c>
      <c r="P445" s="1290">
        <v>75207022</v>
      </c>
      <c r="Q445" s="1292">
        <v>354315353</v>
      </c>
      <c r="R445" s="2138" t="s">
        <v>1858</v>
      </c>
      <c r="S445" s="2370" t="s">
        <v>66</v>
      </c>
      <c r="T445" s="2670" t="s">
        <v>2435</v>
      </c>
      <c r="U445" s="2140">
        <v>1</v>
      </c>
      <c r="V445" s="2142">
        <v>42281</v>
      </c>
      <c r="W445" s="2143" t="s">
        <v>121</v>
      </c>
      <c r="X445" s="4372" t="s">
        <v>134</v>
      </c>
      <c r="Y445" s="2107">
        <f t="shared" ca="1" si="21"/>
        <v>2.2111111111111112</v>
      </c>
      <c r="Z445" s="79"/>
    </row>
    <row r="446" spans="1:26" ht="14.1" customHeight="1" x14ac:dyDescent="0.2">
      <c r="A446" s="79">
        <v>434</v>
      </c>
      <c r="B446" s="129" t="s">
        <v>1685</v>
      </c>
      <c r="C446" s="3397" t="s">
        <v>1062</v>
      </c>
      <c r="D446" s="1802" t="s">
        <v>40</v>
      </c>
      <c r="E446" s="2008" t="s">
        <v>2130</v>
      </c>
      <c r="F446" s="3782">
        <f t="shared" si="20"/>
        <v>187.00551536858569</v>
      </c>
      <c r="G446" s="2213">
        <f>378+543+0+1169+1198+941+1045+336+1611</f>
        <v>7221</v>
      </c>
      <c r="H446" s="2213"/>
      <c r="I446" s="1299">
        <v>180515631</v>
      </c>
      <c r="J446" s="1070">
        <v>551494670</v>
      </c>
      <c r="K446" s="1070">
        <v>536137124</v>
      </c>
      <c r="L446" s="1070">
        <v>393382398</v>
      </c>
      <c r="M446" s="1070">
        <v>605053256</v>
      </c>
      <c r="N446" s="1070">
        <v>492722427</v>
      </c>
      <c r="O446" s="1070">
        <v>420229089</v>
      </c>
      <c r="P446" s="1070">
        <v>90235489</v>
      </c>
      <c r="Q446" s="1070">
        <v>383081243</v>
      </c>
      <c r="R446" s="2119" t="s">
        <v>1063</v>
      </c>
      <c r="S446" s="2213" t="s">
        <v>66</v>
      </c>
      <c r="T446" s="2674" t="s">
        <v>2435</v>
      </c>
      <c r="U446" s="2124">
        <v>1</v>
      </c>
      <c r="V446" s="2126">
        <v>38891</v>
      </c>
      <c r="W446" s="2128" t="s">
        <v>76</v>
      </c>
      <c r="X446" s="4369" t="s">
        <v>1094</v>
      </c>
      <c r="Y446" s="1534">
        <f t="shared" ca="1" si="21"/>
        <v>11.491666666666667</v>
      </c>
      <c r="Z446" s="79">
        <v>434</v>
      </c>
    </row>
    <row r="447" spans="1:26" ht="14.1" customHeight="1" x14ac:dyDescent="0.2">
      <c r="B447" s="978" t="s">
        <v>1685</v>
      </c>
      <c r="C447" s="3680" t="s">
        <v>2194</v>
      </c>
      <c r="D447" s="1349" t="s">
        <v>40</v>
      </c>
      <c r="E447" s="2009" t="s">
        <v>2130</v>
      </c>
      <c r="F447" s="3782">
        <f t="shared" si="20"/>
        <v>187.56516522474885</v>
      </c>
      <c r="G447" s="2370">
        <f>83.2+319.3+297.8+272.2+338.2+280.7+307.3+40.4+290.3</f>
        <v>2229.4</v>
      </c>
      <c r="H447" s="2137"/>
      <c r="I447" s="836">
        <v>143908032</v>
      </c>
      <c r="J447" s="1290">
        <v>697179107</v>
      </c>
      <c r="K447" s="1290">
        <v>658164668</v>
      </c>
      <c r="L447" s="1290">
        <v>450555312</v>
      </c>
      <c r="M447" s="1290">
        <v>713727888</v>
      </c>
      <c r="N447" s="1290">
        <v>600004468</v>
      </c>
      <c r="O447" s="1291">
        <v>581121251</v>
      </c>
      <c r="P447" s="1290">
        <v>60845385</v>
      </c>
      <c r="Q447" s="1292">
        <v>344972154</v>
      </c>
      <c r="R447" s="2138" t="s">
        <v>2192</v>
      </c>
      <c r="S447" s="2370" t="s">
        <v>66</v>
      </c>
      <c r="T447" s="2670" t="s">
        <v>2435</v>
      </c>
      <c r="U447" s="2140">
        <v>1</v>
      </c>
      <c r="V447" s="2142">
        <v>42292</v>
      </c>
      <c r="W447" s="2143" t="s">
        <v>121</v>
      </c>
      <c r="X447" s="4372" t="s">
        <v>2193</v>
      </c>
      <c r="Y447" s="2107">
        <f t="shared" ca="1" si="21"/>
        <v>2.1805555555555554</v>
      </c>
    </row>
    <row r="448" spans="1:26" ht="14.1" customHeight="1" x14ac:dyDescent="0.25">
      <c r="A448" s="79">
        <v>436</v>
      </c>
      <c r="B448" s="1000" t="s">
        <v>1685</v>
      </c>
      <c r="C448" s="1235" t="s">
        <v>1244</v>
      </c>
      <c r="D448" s="1955"/>
      <c r="E448" s="2010" t="s">
        <v>2130</v>
      </c>
      <c r="F448" s="3782">
        <f t="shared" si="20"/>
        <v>187.71265536942246</v>
      </c>
      <c r="G448" s="2035"/>
      <c r="H448" s="2035"/>
      <c r="I448" s="1068">
        <v>186196824</v>
      </c>
      <c r="J448" s="1069">
        <v>606693377</v>
      </c>
      <c r="K448" s="1069">
        <v>577854465</v>
      </c>
      <c r="L448" s="1069">
        <v>432499963</v>
      </c>
      <c r="M448" s="1069">
        <v>609160705</v>
      </c>
      <c r="N448" s="1069">
        <v>492148737</v>
      </c>
      <c r="O448" s="1070">
        <v>479686070</v>
      </c>
      <c r="P448" s="1069">
        <v>77435107</v>
      </c>
      <c r="Q448" s="1069">
        <v>386163583</v>
      </c>
      <c r="R448" s="1932" t="s">
        <v>112</v>
      </c>
      <c r="S448" s="1936" t="s">
        <v>66</v>
      </c>
      <c r="T448" s="2664" t="s">
        <v>2435</v>
      </c>
      <c r="U448" s="1933">
        <v>1</v>
      </c>
      <c r="V448" s="4185">
        <v>38620</v>
      </c>
      <c r="W448" s="1935" t="s">
        <v>71</v>
      </c>
      <c r="X448" s="4376" t="s">
        <v>380</v>
      </c>
      <c r="Y448" s="1534">
        <f t="shared" ca="1" si="21"/>
        <v>12.236111111111111</v>
      </c>
      <c r="Z448" s="79">
        <v>436</v>
      </c>
    </row>
    <row r="449" spans="1:26" ht="14.1" customHeight="1" x14ac:dyDescent="0.25">
      <c r="B449" s="978" t="s">
        <v>1685</v>
      </c>
      <c r="C449" s="1233" t="s">
        <v>1528</v>
      </c>
      <c r="D449" s="3825"/>
      <c r="E449" s="2009" t="s">
        <v>2130</v>
      </c>
      <c r="F449" s="3782">
        <f t="shared" si="20"/>
        <v>188.26477510838566</v>
      </c>
      <c r="G449" s="2227">
        <f>24.5+40.9+34.9+38.6+35.4+27.4+46.6+8.8+46.1</f>
        <v>303.20000000000005</v>
      </c>
      <c r="H449" s="3218"/>
      <c r="I449" s="840">
        <v>168883279</v>
      </c>
      <c r="J449" s="1290">
        <v>616427705</v>
      </c>
      <c r="K449" s="1291">
        <v>574752117</v>
      </c>
      <c r="L449" s="1291">
        <v>441878827</v>
      </c>
      <c r="M449" s="1291">
        <v>611950730</v>
      </c>
      <c r="N449" s="1291">
        <v>502746266</v>
      </c>
      <c r="O449" s="1291">
        <v>537539981</v>
      </c>
      <c r="P449" s="1291">
        <v>70859763</v>
      </c>
      <c r="Q449" s="1291">
        <v>414539912</v>
      </c>
      <c r="R449" s="2130" t="s">
        <v>753</v>
      </c>
      <c r="S449" s="2131" t="s">
        <v>66</v>
      </c>
      <c r="T449" s="2669" t="s">
        <v>2435</v>
      </c>
      <c r="U449" s="2132">
        <v>1</v>
      </c>
      <c r="V449" s="2133">
        <v>41576</v>
      </c>
      <c r="W449" s="2134" t="s">
        <v>1529</v>
      </c>
      <c r="X449" s="4374" t="s">
        <v>1408</v>
      </c>
      <c r="Y449" s="2107">
        <f t="shared" ca="1" si="21"/>
        <v>4.1416666666666666</v>
      </c>
    </row>
    <row r="450" spans="1:26" ht="14.1" customHeight="1" x14ac:dyDescent="0.25">
      <c r="A450" s="79">
        <v>438</v>
      </c>
      <c r="B450" s="985" t="s">
        <v>1103</v>
      </c>
      <c r="C450" s="1208" t="s">
        <v>402</v>
      </c>
      <c r="D450" s="1938"/>
      <c r="E450" s="2010"/>
      <c r="F450" s="3782">
        <f t="shared" si="20"/>
        <v>189.02351146974112</v>
      </c>
      <c r="G450" s="2137"/>
      <c r="H450" s="2137"/>
      <c r="I450" s="836">
        <v>156683447</v>
      </c>
      <c r="J450" s="1290">
        <v>660887078</v>
      </c>
      <c r="K450" s="1290">
        <v>601234654</v>
      </c>
      <c r="L450" s="1290">
        <v>460939485</v>
      </c>
      <c r="M450" s="1290">
        <v>662897933</v>
      </c>
      <c r="N450" s="1290">
        <v>545905595</v>
      </c>
      <c r="O450" s="1291">
        <v>524743137</v>
      </c>
      <c r="P450" s="1290">
        <v>69265377</v>
      </c>
      <c r="Q450" s="1290">
        <v>399527142</v>
      </c>
      <c r="R450" s="2138" t="s">
        <v>403</v>
      </c>
      <c r="S450" s="2139" t="s">
        <v>131</v>
      </c>
      <c r="T450" s="2670" t="s">
        <v>2435</v>
      </c>
      <c r="U450" s="2140">
        <v>1</v>
      </c>
      <c r="V450" s="2269">
        <v>35976</v>
      </c>
      <c r="W450" s="2143" t="s">
        <v>106</v>
      </c>
      <c r="X450" s="4372" t="s">
        <v>107</v>
      </c>
      <c r="Y450" s="2107">
        <f t="shared" ca="1" si="21"/>
        <v>19.472222222222221</v>
      </c>
      <c r="Z450" s="79">
        <v>438</v>
      </c>
    </row>
    <row r="451" spans="1:26" ht="14.1" customHeight="1" x14ac:dyDescent="0.25">
      <c r="B451" s="2502" t="s">
        <v>1685</v>
      </c>
      <c r="C451" s="2503" t="s">
        <v>400</v>
      </c>
      <c r="D451" s="1958"/>
      <c r="E451" s="2007" t="s">
        <v>2130</v>
      </c>
      <c r="F451" s="3782">
        <f t="shared" si="20"/>
        <v>189.02352180176669</v>
      </c>
      <c r="G451" s="2505"/>
      <c r="H451" s="2505"/>
      <c r="I451" s="2118">
        <v>156683460</v>
      </c>
      <c r="J451" s="1669">
        <v>660887091</v>
      </c>
      <c r="K451" s="1669">
        <v>601234667</v>
      </c>
      <c r="L451" s="1669">
        <v>460939498</v>
      </c>
      <c r="M451" s="1669">
        <v>662897946</v>
      </c>
      <c r="N451" s="1669">
        <v>545905608</v>
      </c>
      <c r="O451" s="1515">
        <v>524743150</v>
      </c>
      <c r="P451" s="1669">
        <v>69265390</v>
      </c>
      <c r="Q451" s="1669">
        <v>399527155</v>
      </c>
      <c r="R451" s="2506" t="s">
        <v>401</v>
      </c>
      <c r="S451" s="2508" t="s">
        <v>131</v>
      </c>
      <c r="T451" s="2671" t="s">
        <v>2435</v>
      </c>
      <c r="U451" s="2509">
        <v>1</v>
      </c>
      <c r="V451" s="2769">
        <v>34845</v>
      </c>
      <c r="W451" s="2511" t="s">
        <v>76</v>
      </c>
      <c r="X451" s="4378" t="s">
        <v>107</v>
      </c>
      <c r="Y451" s="2144">
        <f t="shared" ca="1" si="21"/>
        <v>22.566666666666666</v>
      </c>
    </row>
    <row r="452" spans="1:26" ht="14.1" customHeight="1" x14ac:dyDescent="0.25">
      <c r="A452" s="79">
        <v>440</v>
      </c>
      <c r="B452" s="129" t="s">
        <v>1685</v>
      </c>
      <c r="C452" s="1428" t="s">
        <v>719</v>
      </c>
      <c r="D452" s="3829"/>
      <c r="E452" s="2008" t="s">
        <v>2130</v>
      </c>
      <c r="F452" s="3782">
        <f t="shared" si="20"/>
        <v>189.05527673534723</v>
      </c>
      <c r="G452" s="2825"/>
      <c r="H452" s="2825"/>
      <c r="I452" s="1299">
        <v>156683423</v>
      </c>
      <c r="J452" s="1668">
        <v>660887055</v>
      </c>
      <c r="K452" s="1668">
        <v>601234632</v>
      </c>
      <c r="L452" s="1668">
        <v>460939462</v>
      </c>
      <c r="M452" s="1668">
        <v>662897773</v>
      </c>
      <c r="N452" s="1668">
        <v>545905568</v>
      </c>
      <c r="O452" s="1668">
        <v>524743071</v>
      </c>
      <c r="P452" s="1668">
        <v>69352702</v>
      </c>
      <c r="Q452" s="1668">
        <v>399527291</v>
      </c>
      <c r="R452" s="3863" t="s">
        <v>718</v>
      </c>
      <c r="S452" s="2825" t="s">
        <v>131</v>
      </c>
      <c r="T452" s="2674" t="s">
        <v>2435</v>
      </c>
      <c r="U452" s="2837">
        <v>1</v>
      </c>
      <c r="V452" s="3897">
        <v>34156</v>
      </c>
      <c r="W452" s="3904" t="s">
        <v>106</v>
      </c>
      <c r="X452" s="4379" t="s">
        <v>106</v>
      </c>
      <c r="Y452" s="2373">
        <f t="shared" ca="1" si="21"/>
        <v>24.455555555555556</v>
      </c>
      <c r="Z452" s="79">
        <v>440</v>
      </c>
    </row>
    <row r="453" spans="1:26" ht="14.1" customHeight="1" x14ac:dyDescent="0.25">
      <c r="B453" s="2502" t="s">
        <v>1685</v>
      </c>
      <c r="C453" s="2503" t="s">
        <v>385</v>
      </c>
      <c r="D453" s="1958"/>
      <c r="E453" s="2007"/>
      <c r="F453" s="3782">
        <f t="shared" si="20"/>
        <v>190.18517424363574</v>
      </c>
      <c r="G453" s="2505"/>
      <c r="H453" s="2505"/>
      <c r="I453" s="2118">
        <v>173625961</v>
      </c>
      <c r="J453" s="1669">
        <v>606693417</v>
      </c>
      <c r="K453" s="1669">
        <v>565695553</v>
      </c>
      <c r="L453" s="1669">
        <v>426542920</v>
      </c>
      <c r="M453" s="1669">
        <v>609160745</v>
      </c>
      <c r="N453" s="1669">
        <v>492148777</v>
      </c>
      <c r="O453" s="1515">
        <v>494484725</v>
      </c>
      <c r="P453" s="1669">
        <v>78828772</v>
      </c>
      <c r="Q453" s="1669">
        <v>436304204</v>
      </c>
      <c r="R453" s="2506" t="s">
        <v>268</v>
      </c>
      <c r="S453" s="2508" t="s">
        <v>131</v>
      </c>
      <c r="T453" s="2671" t="s">
        <v>2435</v>
      </c>
      <c r="U453" s="2509">
        <v>1</v>
      </c>
      <c r="V453" s="2510">
        <v>33154</v>
      </c>
      <c r="W453" s="2511" t="s">
        <v>76</v>
      </c>
      <c r="X453" s="4378" t="s">
        <v>107</v>
      </c>
      <c r="Y453" s="2144">
        <f t="shared" ca="1" si="21"/>
        <v>27.2</v>
      </c>
    </row>
    <row r="454" spans="1:26" ht="14.1" customHeight="1" x14ac:dyDescent="0.25">
      <c r="A454" s="79">
        <v>442</v>
      </c>
      <c r="B454" s="1000" t="s">
        <v>1685</v>
      </c>
      <c r="C454" s="3396" t="s">
        <v>917</v>
      </c>
      <c r="D454" s="1955"/>
      <c r="E454" s="2010" t="s">
        <v>2130</v>
      </c>
      <c r="F454" s="3782">
        <f t="shared" si="20"/>
        <v>190.28801625244063</v>
      </c>
      <c r="G454" s="4005">
        <f>1235+2670+1905+2150+1202+934+1606+740+3470</f>
        <v>15912</v>
      </c>
      <c r="H454" s="4005"/>
      <c r="I454" s="1068">
        <v>163301497</v>
      </c>
      <c r="J454" s="4053">
        <v>582222964</v>
      </c>
      <c r="K454" s="1667">
        <v>559800543</v>
      </c>
      <c r="L454" s="1667">
        <v>441175011</v>
      </c>
      <c r="M454" s="1667">
        <v>598705381</v>
      </c>
      <c r="N454" s="1667">
        <v>491751878</v>
      </c>
      <c r="O454" s="1668">
        <v>503098229</v>
      </c>
      <c r="P454" s="1667">
        <v>73413117</v>
      </c>
      <c r="Q454" s="1667">
        <v>405888056</v>
      </c>
      <c r="R454" s="2529" t="s">
        <v>919</v>
      </c>
      <c r="S454" s="2531" t="s">
        <v>131</v>
      </c>
      <c r="T454" s="2662" t="s">
        <v>2435</v>
      </c>
      <c r="U454" s="2534">
        <v>1</v>
      </c>
      <c r="V454" s="2537">
        <v>34129</v>
      </c>
      <c r="W454" s="2541" t="s">
        <v>76</v>
      </c>
      <c r="X454" s="4380" t="s">
        <v>692</v>
      </c>
      <c r="Y454" s="2373">
        <f t="shared" ca="1" si="21"/>
        <v>24.530555555555555</v>
      </c>
      <c r="Z454" s="79">
        <v>442</v>
      </c>
    </row>
    <row r="455" spans="1:26" ht="14.1" customHeight="1" x14ac:dyDescent="0.2">
      <c r="B455" s="2502" t="s">
        <v>1685</v>
      </c>
      <c r="C455" s="3816" t="s">
        <v>388</v>
      </c>
      <c r="D455" s="1954" t="s">
        <v>40</v>
      </c>
      <c r="E455" s="2009" t="s">
        <v>2130</v>
      </c>
      <c r="F455" s="3782">
        <f t="shared" si="20"/>
        <v>191.32764444890117</v>
      </c>
      <c r="G455" s="2137"/>
      <c r="H455" s="2137"/>
      <c r="I455" s="840">
        <v>174809940</v>
      </c>
      <c r="J455" s="1291">
        <v>606691328</v>
      </c>
      <c r="K455" s="1291">
        <v>574941263</v>
      </c>
      <c r="L455" s="1291">
        <v>436030884</v>
      </c>
      <c r="M455" s="1291">
        <v>609160707</v>
      </c>
      <c r="N455" s="1291">
        <v>492148739</v>
      </c>
      <c r="O455" s="1291">
        <v>490673754</v>
      </c>
      <c r="P455" s="1291">
        <v>80097169</v>
      </c>
      <c r="Q455" s="1291">
        <v>436589590</v>
      </c>
      <c r="R455" s="2138" t="s">
        <v>389</v>
      </c>
      <c r="S455" s="2139" t="s">
        <v>131</v>
      </c>
      <c r="T455" s="2670" t="s">
        <v>2435</v>
      </c>
      <c r="U455" s="2140">
        <v>1</v>
      </c>
      <c r="V455" s="2142">
        <v>35297</v>
      </c>
      <c r="W455" s="2143" t="s">
        <v>74</v>
      </c>
      <c r="X455" s="4372" t="s">
        <v>390</v>
      </c>
      <c r="Y455" s="2107">
        <f t="shared" ca="1" si="21"/>
        <v>21.333333333333332</v>
      </c>
    </row>
    <row r="456" spans="1:26" ht="14.1" customHeight="1" x14ac:dyDescent="0.25">
      <c r="A456" s="79">
        <v>444</v>
      </c>
      <c r="B456" s="1033" t="s">
        <v>1103</v>
      </c>
      <c r="C456" s="3396" t="s">
        <v>1298</v>
      </c>
      <c r="D456" s="1956"/>
      <c r="E456" s="2010"/>
      <c r="F456" s="3782">
        <f t="shared" si="20"/>
        <v>192.70772104442975</v>
      </c>
      <c r="G456" s="2137"/>
      <c r="H456" s="2137"/>
      <c r="I456" s="836">
        <v>156721691</v>
      </c>
      <c r="J456" s="1290">
        <v>606693486</v>
      </c>
      <c r="K456" s="1290">
        <v>577854572</v>
      </c>
      <c r="L456" s="1290">
        <v>503220158</v>
      </c>
      <c r="M456" s="1290">
        <v>596575957</v>
      </c>
      <c r="N456" s="1290">
        <v>492148854</v>
      </c>
      <c r="O456" s="1291">
        <v>581732771</v>
      </c>
      <c r="P456" s="1290">
        <v>73991782</v>
      </c>
      <c r="Q456" s="1290">
        <v>437834493</v>
      </c>
      <c r="R456" s="2138" t="s">
        <v>109</v>
      </c>
      <c r="S456" s="2139" t="s">
        <v>131</v>
      </c>
      <c r="T456" s="2670" t="s">
        <v>2435</v>
      </c>
      <c r="U456" s="2140">
        <v>1</v>
      </c>
      <c r="V456" s="2142">
        <v>32573</v>
      </c>
      <c r="W456" s="2143" t="s">
        <v>76</v>
      </c>
      <c r="X456" s="4372" t="s">
        <v>396</v>
      </c>
      <c r="Y456" s="2107">
        <f t="shared" ca="1" si="21"/>
        <v>28.788888888888888</v>
      </c>
      <c r="Z456" s="79">
        <v>444</v>
      </c>
    </row>
    <row r="457" spans="1:26" ht="14.1" customHeight="1" x14ac:dyDescent="0.2">
      <c r="B457" s="2502" t="s">
        <v>1685</v>
      </c>
      <c r="C457" s="3395" t="s">
        <v>1855</v>
      </c>
      <c r="D457" s="1954" t="s">
        <v>40</v>
      </c>
      <c r="E457" s="2009" t="s">
        <v>2130</v>
      </c>
      <c r="F457" s="3782">
        <f t="shared" si="20"/>
        <v>193.16024313272888</v>
      </c>
      <c r="G457" s="4020">
        <f>1.438+0.281+0.141+2.625+0.109+0.094+2.969+0.828+4.313</f>
        <v>12.797999999999998</v>
      </c>
      <c r="H457" s="2505"/>
      <c r="I457" s="2118">
        <v>179250898</v>
      </c>
      <c r="J457" s="1669">
        <v>607046032</v>
      </c>
      <c r="K457" s="1669">
        <v>577911964</v>
      </c>
      <c r="L457" s="1669">
        <v>446969200</v>
      </c>
      <c r="M457" s="1669">
        <v>609195912</v>
      </c>
      <c r="N457" s="1669">
        <v>492196304</v>
      </c>
      <c r="O457" s="1515">
        <v>513447748</v>
      </c>
      <c r="P457" s="1669">
        <v>77370096</v>
      </c>
      <c r="Q457" s="4066">
        <v>444105984</v>
      </c>
      <c r="R457" s="2506" t="s">
        <v>1856</v>
      </c>
      <c r="S457" s="4124" t="s">
        <v>62</v>
      </c>
      <c r="T457" s="2671" t="s">
        <v>2435</v>
      </c>
      <c r="U457" s="2509">
        <v>1</v>
      </c>
      <c r="V457" s="2510">
        <v>42242</v>
      </c>
      <c r="W457" s="2511" t="s">
        <v>181</v>
      </c>
      <c r="X457" s="4378" t="s">
        <v>1857</v>
      </c>
      <c r="Y457" s="2144">
        <f t="shared" ca="1" si="21"/>
        <v>2.3166666666666669</v>
      </c>
    </row>
    <row r="458" spans="1:26" ht="14.1" customHeight="1" x14ac:dyDescent="0.2">
      <c r="A458" s="79">
        <v>446</v>
      </c>
      <c r="B458" s="129" t="s">
        <v>1685</v>
      </c>
      <c r="C458" s="1429" t="s">
        <v>1803</v>
      </c>
      <c r="D458" s="1802" t="s">
        <v>40</v>
      </c>
      <c r="E458" s="2008" t="s">
        <v>2130</v>
      </c>
      <c r="F458" s="3782">
        <f t="shared" si="20"/>
        <v>193.2273526894023</v>
      </c>
      <c r="G458" s="2825">
        <f>1.9+3.3+3.5+4.89+5.59+3.9+6.2+0.91+9.7</f>
        <v>39.89</v>
      </c>
      <c r="H458" s="2825"/>
      <c r="I458" s="1299">
        <v>165637194</v>
      </c>
      <c r="J458" s="1668">
        <v>601247817</v>
      </c>
      <c r="K458" s="1668">
        <v>564432479</v>
      </c>
      <c r="L458" s="1668">
        <v>487950017</v>
      </c>
      <c r="M458" s="1668">
        <v>594537076</v>
      </c>
      <c r="N458" s="1668">
        <v>489448485</v>
      </c>
      <c r="O458" s="1668">
        <v>544044973</v>
      </c>
      <c r="P458" s="1668">
        <v>73302434</v>
      </c>
      <c r="Q458" s="1668">
        <v>465372286</v>
      </c>
      <c r="R458" s="3419" t="s">
        <v>1061</v>
      </c>
      <c r="S458" s="2825" t="s">
        <v>66</v>
      </c>
      <c r="T458" s="2674" t="s">
        <v>2435</v>
      </c>
      <c r="U458" s="2837">
        <v>1</v>
      </c>
      <c r="V458" s="3444">
        <v>41073</v>
      </c>
      <c r="W458" s="3452" t="s">
        <v>74</v>
      </c>
      <c r="X458" s="4381" t="s">
        <v>280</v>
      </c>
      <c r="Y458" s="2373">
        <f t="shared" ca="1" si="21"/>
        <v>5.5194444444444448</v>
      </c>
      <c r="Z458" s="79">
        <v>446</v>
      </c>
    </row>
    <row r="459" spans="1:26" ht="14.1" customHeight="1" x14ac:dyDescent="0.25">
      <c r="B459" s="2502" t="s">
        <v>1685</v>
      </c>
      <c r="C459" s="1208" t="s">
        <v>393</v>
      </c>
      <c r="D459" s="1940"/>
      <c r="E459" s="2007"/>
      <c r="F459" s="3782">
        <f t="shared" si="20"/>
        <v>194.87555803218766</v>
      </c>
      <c r="G459" s="2137"/>
      <c r="H459" s="2137"/>
      <c r="I459" s="836">
        <v>141176080</v>
      </c>
      <c r="J459" s="1290">
        <v>571833866</v>
      </c>
      <c r="K459" s="1290">
        <v>535284982</v>
      </c>
      <c r="L459" s="1290">
        <v>406530237</v>
      </c>
      <c r="M459" s="1290">
        <v>609160873</v>
      </c>
      <c r="N459" s="1290">
        <v>489213065</v>
      </c>
      <c r="O459" s="1291">
        <v>565989042</v>
      </c>
      <c r="P459" s="1290">
        <v>93353819</v>
      </c>
      <c r="Q459" s="1290">
        <v>493427189</v>
      </c>
      <c r="R459" s="2138" t="s">
        <v>394</v>
      </c>
      <c r="S459" s="2139" t="s">
        <v>131</v>
      </c>
      <c r="T459" s="2663" t="s">
        <v>2435</v>
      </c>
      <c r="U459" s="2140">
        <v>1</v>
      </c>
      <c r="V459" s="2142">
        <v>33428</v>
      </c>
      <c r="W459" s="2143" t="s">
        <v>395</v>
      </c>
      <c r="X459" s="4372" t="s">
        <v>107</v>
      </c>
      <c r="Y459" s="2107">
        <f t="shared" ca="1" si="21"/>
        <v>26.447222222222223</v>
      </c>
    </row>
    <row r="460" spans="1:26" ht="14.1" customHeight="1" x14ac:dyDescent="0.2">
      <c r="A460" s="79">
        <v>448</v>
      </c>
      <c r="B460" s="1000" t="s">
        <v>1685</v>
      </c>
      <c r="C460" s="1235" t="s">
        <v>2185</v>
      </c>
      <c r="D460" s="1802" t="s">
        <v>40</v>
      </c>
      <c r="E460" s="2010" t="s">
        <v>2130</v>
      </c>
      <c r="F460" s="3782">
        <f t="shared" si="20"/>
        <v>196.55587530957146</v>
      </c>
      <c r="G460" s="3408">
        <f>125.7+59.5+89.1+333.9+53.6+45.1+219.4+107.6+625.8</f>
        <v>1659.6999999999998</v>
      </c>
      <c r="H460" s="3410"/>
      <c r="I460" s="1068">
        <v>176491513</v>
      </c>
      <c r="J460" s="1837">
        <v>603243163</v>
      </c>
      <c r="K460" s="1837">
        <v>555045535</v>
      </c>
      <c r="L460" s="1837">
        <v>444951374</v>
      </c>
      <c r="M460" s="1837">
        <v>598557930</v>
      </c>
      <c r="N460" s="1837">
        <v>492169943</v>
      </c>
      <c r="O460" s="1843">
        <v>533382710</v>
      </c>
      <c r="P460" s="1837">
        <v>80148249</v>
      </c>
      <c r="Q460" s="2927">
        <v>474058346</v>
      </c>
      <c r="R460" s="3417" t="s">
        <v>2183</v>
      </c>
      <c r="S460" s="3408" t="s">
        <v>66</v>
      </c>
      <c r="T460" s="2664" t="s">
        <v>2435</v>
      </c>
      <c r="U460" s="3435">
        <v>1</v>
      </c>
      <c r="V460" s="3442">
        <v>41731</v>
      </c>
      <c r="W460" s="3450" t="s">
        <v>121</v>
      </c>
      <c r="X460" s="4382" t="s">
        <v>2184</v>
      </c>
      <c r="Y460" s="2543">
        <f t="shared" ca="1" si="21"/>
        <v>3.7166666666666668</v>
      </c>
      <c r="Z460" s="79">
        <v>448</v>
      </c>
    </row>
    <row r="461" spans="1:26" ht="14.1" customHeight="1" x14ac:dyDescent="0.2">
      <c r="B461" s="978" t="s">
        <v>1685</v>
      </c>
      <c r="C461" s="1209" t="s">
        <v>666</v>
      </c>
      <c r="D461" s="1349"/>
      <c r="E461" s="2009" t="s">
        <v>2130</v>
      </c>
      <c r="F461" s="3782">
        <f t="shared" ref="F461:F523" si="22">SUM(I461/I$11,J461/J$11,K461/K$11,L461/L$11,M461/M$11,N461/N$11,O461/O$11,P461/P$11,Q461/Q$11)/9*100+(G461/5000)+(IF(H461 = 0,G461,H461)/5000)</f>
        <v>197.16310416420671</v>
      </c>
      <c r="G461" s="2547"/>
      <c r="H461" s="2547"/>
      <c r="I461" s="840">
        <v>186099051</v>
      </c>
      <c r="J461" s="1291">
        <v>606693437</v>
      </c>
      <c r="K461" s="1291">
        <v>568483742</v>
      </c>
      <c r="L461" s="1290">
        <v>430899690</v>
      </c>
      <c r="M461" s="1291">
        <v>606186456</v>
      </c>
      <c r="N461" s="1291">
        <v>492148797</v>
      </c>
      <c r="O461" s="1291">
        <v>528035592</v>
      </c>
      <c r="P461" s="1291">
        <v>82985191</v>
      </c>
      <c r="Q461" s="1291">
        <v>459677486</v>
      </c>
      <c r="R461" s="2130" t="s">
        <v>664</v>
      </c>
      <c r="S461" s="2131" t="s">
        <v>131</v>
      </c>
      <c r="T461" s="2665" t="s">
        <v>2435</v>
      </c>
      <c r="U461" s="2132">
        <v>1</v>
      </c>
      <c r="V461" s="2133">
        <v>32939</v>
      </c>
      <c r="W461" s="2134" t="s">
        <v>76</v>
      </c>
      <c r="X461" s="4374" t="s">
        <v>378</v>
      </c>
      <c r="Y461" s="2107">
        <f t="shared" ca="1" si="21"/>
        <v>27.786111111111111</v>
      </c>
    </row>
    <row r="462" spans="1:26" ht="14.1" customHeight="1" x14ac:dyDescent="0.2">
      <c r="A462" s="79">
        <v>450</v>
      </c>
      <c r="B462" s="1033" t="s">
        <v>1103</v>
      </c>
      <c r="C462" s="1235" t="s">
        <v>672</v>
      </c>
      <c r="D462" s="1802" t="s">
        <v>40</v>
      </c>
      <c r="E462" s="2008" t="s">
        <v>2130</v>
      </c>
      <c r="F462" s="3782">
        <f t="shared" si="22"/>
        <v>197.26446033476651</v>
      </c>
      <c r="G462" s="3410"/>
      <c r="H462" s="3410"/>
      <c r="I462" s="1068">
        <v>195997345</v>
      </c>
      <c r="J462" s="1837">
        <v>606682494</v>
      </c>
      <c r="K462" s="1837">
        <v>566651000</v>
      </c>
      <c r="L462" s="1837">
        <v>473731970</v>
      </c>
      <c r="M462" s="1837">
        <v>609142979</v>
      </c>
      <c r="N462" s="1837">
        <v>492148908</v>
      </c>
      <c r="O462" s="1843">
        <v>506129491</v>
      </c>
      <c r="P462" s="1837">
        <v>83488522</v>
      </c>
      <c r="Q462" s="1837">
        <v>426829760</v>
      </c>
      <c r="R462" s="3417" t="s">
        <v>397</v>
      </c>
      <c r="S462" s="3425" t="s">
        <v>66</v>
      </c>
      <c r="T462" s="2662" t="s">
        <v>2435</v>
      </c>
      <c r="U462" s="3435">
        <v>1</v>
      </c>
      <c r="V462" s="3442">
        <v>32509</v>
      </c>
      <c r="W462" s="3450" t="s">
        <v>76</v>
      </c>
      <c r="X462" s="4382" t="s">
        <v>378</v>
      </c>
      <c r="Y462" s="2543">
        <f t="shared" ca="1" si="21"/>
        <v>28.969444444444445</v>
      </c>
      <c r="Z462" s="79">
        <v>450</v>
      </c>
    </row>
    <row r="463" spans="1:26" ht="14.1" customHeight="1" x14ac:dyDescent="0.2">
      <c r="B463" s="133" t="s">
        <v>1685</v>
      </c>
      <c r="C463" s="3394" t="s">
        <v>2617</v>
      </c>
      <c r="D463" s="1349" t="s">
        <v>40</v>
      </c>
      <c r="E463" s="2009" t="s">
        <v>2130</v>
      </c>
      <c r="F463" s="3782">
        <f t="shared" si="22"/>
        <v>197.29768443185267</v>
      </c>
      <c r="G463" s="3409"/>
      <c r="H463" s="3409"/>
      <c r="I463" s="836">
        <v>200898731</v>
      </c>
      <c r="J463" s="1290">
        <v>564580202</v>
      </c>
      <c r="K463" s="1290">
        <v>507971333</v>
      </c>
      <c r="L463" s="1291">
        <v>424188867</v>
      </c>
      <c r="M463" s="1291">
        <v>599527755</v>
      </c>
      <c r="N463" s="1291">
        <v>486030792</v>
      </c>
      <c r="O463" s="1291">
        <v>413503032</v>
      </c>
      <c r="P463" s="1291">
        <v>102358782</v>
      </c>
      <c r="Q463" s="1291">
        <v>446910937</v>
      </c>
      <c r="R463" s="3418" t="s">
        <v>376</v>
      </c>
      <c r="S463" s="3426" t="s">
        <v>131</v>
      </c>
      <c r="T463" s="3430" t="s">
        <v>2435</v>
      </c>
      <c r="U463" s="3436">
        <v>1</v>
      </c>
      <c r="V463" s="3443">
        <v>33018</v>
      </c>
      <c r="W463" s="3451" t="s">
        <v>76</v>
      </c>
      <c r="X463" s="4383" t="s">
        <v>2024</v>
      </c>
      <c r="Y463" s="2107">
        <f t="shared" ca="1" si="21"/>
        <v>27.569444444444443</v>
      </c>
    </row>
    <row r="464" spans="1:26" ht="14.1" customHeight="1" x14ac:dyDescent="0.2">
      <c r="A464" s="79">
        <v>452</v>
      </c>
      <c r="B464" s="1000" t="s">
        <v>1685</v>
      </c>
      <c r="C464" s="3393" t="s">
        <v>2057</v>
      </c>
      <c r="D464" s="1802" t="s">
        <v>40</v>
      </c>
      <c r="E464" s="2008"/>
      <c r="F464" s="3782">
        <f t="shared" si="22"/>
        <v>198.70774179107389</v>
      </c>
      <c r="G464" s="3408">
        <f>146.46+100.03+79.63+144.89+93.06+72.32+75.1+186.08+64.85</f>
        <v>962.42</v>
      </c>
      <c r="H464" s="3410"/>
      <c r="I464" s="1068">
        <v>189522139</v>
      </c>
      <c r="J464" s="1837">
        <v>606683222</v>
      </c>
      <c r="K464" s="1837">
        <v>571992691</v>
      </c>
      <c r="L464" s="1837">
        <v>424227441</v>
      </c>
      <c r="M464" s="1837">
        <v>609143900</v>
      </c>
      <c r="N464" s="1837">
        <v>492107496</v>
      </c>
      <c r="O464" s="1843">
        <v>533373570</v>
      </c>
      <c r="P464" s="1837">
        <v>86894094</v>
      </c>
      <c r="Q464" s="2927">
        <v>447990525</v>
      </c>
      <c r="R464" s="3417" t="s">
        <v>109</v>
      </c>
      <c r="S464" s="3425" t="s">
        <v>66</v>
      </c>
      <c r="T464" s="2662" t="s">
        <v>2435</v>
      </c>
      <c r="U464" s="3435">
        <v>1</v>
      </c>
      <c r="V464" s="3442">
        <v>42460</v>
      </c>
      <c r="W464" s="3450" t="s">
        <v>73</v>
      </c>
      <c r="X464" s="4382" t="s">
        <v>378</v>
      </c>
      <c r="Y464" s="2543">
        <f t="shared" ca="1" si="21"/>
        <v>1.7222222222222223</v>
      </c>
      <c r="Z464" s="79">
        <v>452</v>
      </c>
    </row>
    <row r="465" spans="1:26" ht="14.1" customHeight="1" x14ac:dyDescent="0.25">
      <c r="B465" s="2523" t="s">
        <v>1685</v>
      </c>
      <c r="C465" s="1233" t="s">
        <v>514</v>
      </c>
      <c r="D465" s="1678"/>
      <c r="E465" s="2009" t="s">
        <v>2130</v>
      </c>
      <c r="F465" s="3782">
        <f t="shared" si="22"/>
        <v>198.80054883816953</v>
      </c>
      <c r="G465" s="3407"/>
      <c r="H465" s="3407"/>
      <c r="I465" s="840">
        <v>163454076</v>
      </c>
      <c r="J465" s="1290">
        <v>632960932</v>
      </c>
      <c r="K465" s="1290">
        <v>593170002</v>
      </c>
      <c r="L465" s="1290">
        <v>525546879</v>
      </c>
      <c r="M465" s="1290">
        <v>624158052</v>
      </c>
      <c r="N465" s="1290">
        <v>516872723</v>
      </c>
      <c r="O465" s="1291">
        <v>576797521</v>
      </c>
      <c r="P465" s="1291">
        <v>67335329</v>
      </c>
      <c r="Q465" s="1290">
        <v>491295874</v>
      </c>
      <c r="R465" s="2130" t="s">
        <v>513</v>
      </c>
      <c r="S465" s="2131" t="s">
        <v>66</v>
      </c>
      <c r="T465" s="2665" t="s">
        <v>2435</v>
      </c>
      <c r="U465" s="2132">
        <v>1</v>
      </c>
      <c r="V465" s="2133">
        <v>35657</v>
      </c>
      <c r="W465" s="2134" t="s">
        <v>76</v>
      </c>
      <c r="X465" s="4374" t="s">
        <v>125</v>
      </c>
      <c r="Y465" s="2107">
        <f t="shared" ca="1" si="21"/>
        <v>20.347222222222221</v>
      </c>
    </row>
    <row r="466" spans="1:26" ht="14.1" customHeight="1" x14ac:dyDescent="0.25">
      <c r="A466" s="79">
        <v>454</v>
      </c>
      <c r="B466" s="129" t="s">
        <v>1685</v>
      </c>
      <c r="C466" s="3128" t="s">
        <v>2618</v>
      </c>
      <c r="D466" s="1794"/>
      <c r="E466" s="2008" t="s">
        <v>2130</v>
      </c>
      <c r="F466" s="3782">
        <f t="shared" si="22"/>
        <v>199.38954499862282</v>
      </c>
      <c r="G466" s="3406"/>
      <c r="H466" s="3406"/>
      <c r="I466" s="1299">
        <v>167722116</v>
      </c>
      <c r="J466" s="1927">
        <v>606131460</v>
      </c>
      <c r="K466" s="1874">
        <v>572187758</v>
      </c>
      <c r="L466" s="1874">
        <v>527015726</v>
      </c>
      <c r="M466" s="1874">
        <v>635606772</v>
      </c>
      <c r="N466" s="1874">
        <v>520887712</v>
      </c>
      <c r="O466" s="1874">
        <v>536880618</v>
      </c>
      <c r="P466" s="1874">
        <v>73496510</v>
      </c>
      <c r="Q466" s="1874">
        <v>495453892</v>
      </c>
      <c r="R466" s="2811" t="s">
        <v>284</v>
      </c>
      <c r="S466" s="2812" t="s">
        <v>66</v>
      </c>
      <c r="T466" s="2668" t="s">
        <v>2435</v>
      </c>
      <c r="U466" s="2813">
        <v>1</v>
      </c>
      <c r="V466" s="2814">
        <v>39317</v>
      </c>
      <c r="W466" s="2815" t="s">
        <v>285</v>
      </c>
      <c r="X466" s="4384" t="s">
        <v>405</v>
      </c>
      <c r="Y466" s="2543">
        <f t="shared" ca="1" si="21"/>
        <v>10.324999999999999</v>
      </c>
      <c r="Z466" s="79">
        <v>454</v>
      </c>
    </row>
    <row r="467" spans="1:26" ht="14.1" customHeight="1" x14ac:dyDescent="0.25">
      <c r="B467" s="133" t="s">
        <v>1685</v>
      </c>
      <c r="C467" s="1209" t="s">
        <v>684</v>
      </c>
      <c r="D467" s="1678"/>
      <c r="E467" s="2009" t="s">
        <v>2130</v>
      </c>
      <c r="F467" s="3782">
        <f t="shared" si="22"/>
        <v>200.2231523429551</v>
      </c>
      <c r="G467" s="2547"/>
      <c r="H467" s="2547"/>
      <c r="I467" s="840">
        <v>169471045</v>
      </c>
      <c r="J467" s="1291">
        <v>653153677</v>
      </c>
      <c r="K467" s="1291">
        <v>594721458</v>
      </c>
      <c r="L467" s="1291">
        <v>485710305</v>
      </c>
      <c r="M467" s="1291">
        <v>658520037</v>
      </c>
      <c r="N467" s="1291">
        <v>541971227</v>
      </c>
      <c r="O467" s="1291">
        <v>523273961</v>
      </c>
      <c r="P467" s="1291">
        <v>80157839</v>
      </c>
      <c r="Q467" s="1291">
        <v>460631104</v>
      </c>
      <c r="R467" s="2130" t="s">
        <v>413</v>
      </c>
      <c r="S467" s="2131" t="s">
        <v>131</v>
      </c>
      <c r="T467" s="2665" t="s">
        <v>2435</v>
      </c>
      <c r="U467" s="2132">
        <v>1</v>
      </c>
      <c r="V467" s="2133">
        <v>35891</v>
      </c>
      <c r="W467" s="2134" t="s">
        <v>76</v>
      </c>
      <c r="X467" s="4374" t="s">
        <v>683</v>
      </c>
      <c r="Y467" s="2107">
        <f t="shared" ca="1" si="21"/>
        <v>19.705555555555556</v>
      </c>
    </row>
    <row r="468" spans="1:26" ht="14.1" customHeight="1" x14ac:dyDescent="0.2">
      <c r="A468" s="79">
        <v>456</v>
      </c>
      <c r="B468" s="3384" t="s">
        <v>1685</v>
      </c>
      <c r="C468" s="3392" t="s">
        <v>412</v>
      </c>
      <c r="D468" s="3380" t="s">
        <v>40</v>
      </c>
      <c r="E468" s="3400" t="s">
        <v>2130</v>
      </c>
      <c r="F468" s="3782">
        <f t="shared" si="22"/>
        <v>203.62077831907243</v>
      </c>
      <c r="G468" s="3405"/>
      <c r="H468" s="3405"/>
      <c r="I468" s="1068">
        <v>175805080</v>
      </c>
      <c r="J468" s="1927">
        <v>669159559</v>
      </c>
      <c r="K468" s="1927">
        <v>623802200</v>
      </c>
      <c r="L468" s="1927">
        <v>482895498</v>
      </c>
      <c r="M468" s="1927">
        <v>667582268</v>
      </c>
      <c r="N468" s="1927">
        <v>548309361</v>
      </c>
      <c r="O468" s="1874">
        <v>578394103</v>
      </c>
      <c r="P468" s="1927">
        <v>79552772</v>
      </c>
      <c r="Q468" s="1927">
        <v>444855793</v>
      </c>
      <c r="R468" s="3416" t="s">
        <v>413</v>
      </c>
      <c r="S468" s="3424" t="s">
        <v>131</v>
      </c>
      <c r="T468" s="3429" t="s">
        <v>2435</v>
      </c>
      <c r="U468" s="3434">
        <v>1</v>
      </c>
      <c r="V468" s="3441">
        <v>32605</v>
      </c>
      <c r="W468" s="3449" t="s">
        <v>121</v>
      </c>
      <c r="X468" s="4385" t="s">
        <v>404</v>
      </c>
      <c r="Y468" s="3454">
        <f t="shared" ca="1" si="21"/>
        <v>28.702777777777779</v>
      </c>
      <c r="Z468" s="79">
        <v>456</v>
      </c>
    </row>
    <row r="469" spans="1:26" ht="14.1" customHeight="1" x14ac:dyDescent="0.25">
      <c r="B469" s="1060" t="s">
        <v>1685</v>
      </c>
      <c r="C469" s="1236" t="s">
        <v>1652</v>
      </c>
      <c r="D469" s="2366"/>
      <c r="E469" s="2012" t="s">
        <v>2130</v>
      </c>
      <c r="F469" s="3782">
        <f t="shared" si="22"/>
        <v>204.1642330073754</v>
      </c>
      <c r="G469" s="1527"/>
      <c r="H469" s="1527"/>
      <c r="I469" s="840">
        <v>182509000</v>
      </c>
      <c r="J469" s="1291">
        <v>618039712</v>
      </c>
      <c r="K469" s="1291">
        <v>579734173</v>
      </c>
      <c r="L469" s="1291">
        <v>501298621</v>
      </c>
      <c r="M469" s="1291">
        <v>612504017</v>
      </c>
      <c r="N469" s="1291">
        <v>503418867</v>
      </c>
      <c r="O469" s="1291">
        <v>563012167</v>
      </c>
      <c r="P469" s="1291">
        <v>79706045</v>
      </c>
      <c r="Q469" s="1291">
        <v>501362569</v>
      </c>
      <c r="R469" s="1528" t="s">
        <v>406</v>
      </c>
      <c r="S469" s="1529" t="s">
        <v>66</v>
      </c>
      <c r="T469" s="2292" t="s">
        <v>2435</v>
      </c>
      <c r="U469" s="1530">
        <v>1</v>
      </c>
      <c r="V469" s="1531">
        <v>39249</v>
      </c>
      <c r="W469" s="1532" t="s">
        <v>407</v>
      </c>
      <c r="X469" s="4386" t="s">
        <v>408</v>
      </c>
      <c r="Y469" s="1297">
        <f t="shared" ca="1" si="21"/>
        <v>10.511111111111111</v>
      </c>
    </row>
    <row r="470" spans="1:26" ht="14.1" customHeight="1" x14ac:dyDescent="0.2">
      <c r="A470" s="79">
        <v>458</v>
      </c>
      <c r="B470" s="1067" t="s">
        <v>1685</v>
      </c>
      <c r="C470" s="3391" t="s">
        <v>1187</v>
      </c>
      <c r="D470" s="1666" t="s">
        <v>40</v>
      </c>
      <c r="E470" s="2011" t="s">
        <v>2130</v>
      </c>
      <c r="F470" s="3782">
        <f t="shared" si="22"/>
        <v>204.27321064055337</v>
      </c>
      <c r="G470" s="2245">
        <f>1.65+4.8+5.1+4.4+3.59+2.9+4.2+0.81+5.57</f>
        <v>33.019999999999996</v>
      </c>
      <c r="H470" s="2245"/>
      <c r="I470" s="1299">
        <v>185110742</v>
      </c>
      <c r="J470" s="1874">
        <v>606693376</v>
      </c>
      <c r="K470" s="1874">
        <v>576448577</v>
      </c>
      <c r="L470" s="1874">
        <v>493734416</v>
      </c>
      <c r="M470" s="1874">
        <v>612988659</v>
      </c>
      <c r="N470" s="1874">
        <v>503004656</v>
      </c>
      <c r="O470" s="1874">
        <v>554449110</v>
      </c>
      <c r="P470" s="1874">
        <v>82159471</v>
      </c>
      <c r="Q470" s="1874">
        <v>500269404</v>
      </c>
      <c r="R470" s="2120" t="s">
        <v>753</v>
      </c>
      <c r="S470" s="2507" t="s">
        <v>66</v>
      </c>
      <c r="T470" s="2680" t="s">
        <v>2435</v>
      </c>
      <c r="U470" s="2125">
        <v>1</v>
      </c>
      <c r="V470" s="2127">
        <v>40627</v>
      </c>
      <c r="W470" s="2129" t="s">
        <v>73</v>
      </c>
      <c r="X470" s="4387" t="s">
        <v>1408</v>
      </c>
      <c r="Y470" s="1838">
        <f t="shared" ca="1" si="21"/>
        <v>6.7361111111111107</v>
      </c>
      <c r="Z470" s="79">
        <v>458</v>
      </c>
    </row>
    <row r="471" spans="1:26" ht="14.1" customHeight="1" x14ac:dyDescent="0.25">
      <c r="B471" s="1060" t="s">
        <v>1685</v>
      </c>
      <c r="C471" s="1237" t="s">
        <v>916</v>
      </c>
      <c r="D471" s="2366"/>
      <c r="E471" s="2012" t="s">
        <v>2130</v>
      </c>
      <c r="F471" s="3782">
        <f t="shared" si="22"/>
        <v>204.77445204154461</v>
      </c>
      <c r="G471" s="1289"/>
      <c r="H471" s="1289"/>
      <c r="I471" s="836">
        <v>177363765</v>
      </c>
      <c r="J471" s="1290">
        <v>669210135</v>
      </c>
      <c r="K471" s="1290">
        <v>623873081</v>
      </c>
      <c r="L471" s="1290">
        <v>483379781</v>
      </c>
      <c r="M471" s="1290">
        <v>667753166</v>
      </c>
      <c r="N471" s="1290">
        <v>548340419</v>
      </c>
      <c r="O471" s="1291">
        <v>578899995</v>
      </c>
      <c r="P471" s="1290">
        <v>81082678</v>
      </c>
      <c r="Q471" s="1290">
        <v>448598374</v>
      </c>
      <c r="R471" s="1293" t="s">
        <v>414</v>
      </c>
      <c r="S471" s="1412" t="s">
        <v>131</v>
      </c>
      <c r="T471" s="2248" t="s">
        <v>2435</v>
      </c>
      <c r="U471" s="1294">
        <v>1</v>
      </c>
      <c r="V471" s="1295">
        <v>33686</v>
      </c>
      <c r="W471" s="1296" t="s">
        <v>76</v>
      </c>
      <c r="X471" s="4388" t="s">
        <v>107</v>
      </c>
      <c r="Y471" s="1297">
        <f t="shared" ca="1" si="21"/>
        <v>25.741666666666667</v>
      </c>
    </row>
    <row r="472" spans="1:26" ht="14.1" customHeight="1" x14ac:dyDescent="0.2">
      <c r="A472" s="79">
        <v>460</v>
      </c>
      <c r="B472" s="1067" t="s">
        <v>1685</v>
      </c>
      <c r="C472" s="2190" t="s">
        <v>2262</v>
      </c>
      <c r="D472" s="1666" t="s">
        <v>40</v>
      </c>
      <c r="E472" s="2011" t="s">
        <v>2130</v>
      </c>
      <c r="F472" s="3782">
        <f t="shared" si="22"/>
        <v>204.84578334768844</v>
      </c>
      <c r="G472" s="3404">
        <f>4+5+4+15+14+11+14+5+20</f>
        <v>92</v>
      </c>
      <c r="H472" s="1926"/>
      <c r="I472" s="1299">
        <v>186061958</v>
      </c>
      <c r="J472" s="1874">
        <v>602002737</v>
      </c>
      <c r="K472" s="1874">
        <v>572718326</v>
      </c>
      <c r="L472" s="1874">
        <v>510420947</v>
      </c>
      <c r="M472" s="1874">
        <v>597130974</v>
      </c>
      <c r="N472" s="1874">
        <v>490748282</v>
      </c>
      <c r="O472" s="1874">
        <v>574823044</v>
      </c>
      <c r="P472" s="1874">
        <v>80258522</v>
      </c>
      <c r="Q472" s="1874">
        <v>505900436</v>
      </c>
      <c r="R472" s="1928" t="s">
        <v>2263</v>
      </c>
      <c r="S472" s="2036" t="s">
        <v>66</v>
      </c>
      <c r="T472" s="2351" t="s">
        <v>2435</v>
      </c>
      <c r="U472" s="1929">
        <v>1</v>
      </c>
      <c r="V472" s="1930">
        <v>42762</v>
      </c>
      <c r="W472" s="1931" t="s">
        <v>76</v>
      </c>
      <c r="X472" s="4389" t="s">
        <v>107</v>
      </c>
      <c r="Y472" s="1838">
        <f t="shared" ca="1" si="21"/>
        <v>0.89722222222222225</v>
      </c>
      <c r="Z472" s="79">
        <v>460</v>
      </c>
    </row>
    <row r="473" spans="1:26" ht="14.1" customHeight="1" x14ac:dyDescent="0.2">
      <c r="B473" s="2874" t="s">
        <v>1103</v>
      </c>
      <c r="C473" s="1236" t="s">
        <v>2619</v>
      </c>
      <c r="D473" s="1524" t="s">
        <v>40</v>
      </c>
      <c r="E473" s="2012"/>
      <c r="F473" s="3782">
        <f t="shared" si="22"/>
        <v>206.57313322937711</v>
      </c>
      <c r="G473" s="1289"/>
      <c r="H473" s="1289"/>
      <c r="I473" s="836">
        <v>194011924</v>
      </c>
      <c r="J473" s="1290">
        <v>598846606</v>
      </c>
      <c r="K473" s="1290">
        <v>543634744</v>
      </c>
      <c r="L473" s="1290">
        <v>513493911</v>
      </c>
      <c r="M473" s="1290">
        <v>609160720</v>
      </c>
      <c r="N473" s="1290">
        <v>492148757</v>
      </c>
      <c r="O473" s="1291">
        <v>475241310</v>
      </c>
      <c r="P473" s="1290">
        <v>92929403</v>
      </c>
      <c r="Q473" s="1290">
        <v>511756379</v>
      </c>
      <c r="R473" s="1293" t="s">
        <v>398</v>
      </c>
      <c r="S473" s="1412" t="s">
        <v>66</v>
      </c>
      <c r="T473" s="2248" t="s">
        <v>2435</v>
      </c>
      <c r="U473" s="1294">
        <v>1</v>
      </c>
      <c r="V473" s="1295">
        <v>38883</v>
      </c>
      <c r="W473" s="1296" t="s">
        <v>181</v>
      </c>
      <c r="X473" s="4388" t="s">
        <v>399</v>
      </c>
      <c r="Y473" s="1297">
        <f t="shared" ca="1" si="21"/>
        <v>11.513888888888889</v>
      </c>
    </row>
    <row r="474" spans="1:26" ht="14.1" customHeight="1" x14ac:dyDescent="0.2">
      <c r="A474" s="79">
        <v>462</v>
      </c>
      <c r="B474" s="1067" t="s">
        <v>1685</v>
      </c>
      <c r="C474" s="3390" t="s">
        <v>1245</v>
      </c>
      <c r="D474" s="1666" t="s">
        <v>40</v>
      </c>
      <c r="E474" s="2011" t="s">
        <v>2130</v>
      </c>
      <c r="F474" s="3782">
        <f t="shared" si="22"/>
        <v>207.50253411948566</v>
      </c>
      <c r="G474" s="1926"/>
      <c r="H474" s="1926"/>
      <c r="I474" s="1068">
        <v>182697688</v>
      </c>
      <c r="J474" s="1927">
        <v>797075030</v>
      </c>
      <c r="K474" s="1927">
        <v>717363180</v>
      </c>
      <c r="L474" s="1927">
        <v>477446426</v>
      </c>
      <c r="M474" s="1927">
        <v>853203820</v>
      </c>
      <c r="N474" s="1927">
        <v>697759152</v>
      </c>
      <c r="O474" s="1874">
        <v>573233260</v>
      </c>
      <c r="P474" s="1927">
        <v>65452242</v>
      </c>
      <c r="Q474" s="1927">
        <v>366196150</v>
      </c>
      <c r="R474" s="1928" t="s">
        <v>428</v>
      </c>
      <c r="S474" s="2036" t="s">
        <v>66</v>
      </c>
      <c r="T474" s="2351" t="s">
        <v>2435</v>
      </c>
      <c r="U474" s="1929">
        <v>1</v>
      </c>
      <c r="V474" s="1930">
        <v>39486</v>
      </c>
      <c r="W474" s="1931" t="s">
        <v>71</v>
      </c>
      <c r="X474" s="4389" t="s">
        <v>429</v>
      </c>
      <c r="Y474" s="1838">
        <f t="shared" ca="1" si="21"/>
        <v>9.8666666666666671</v>
      </c>
      <c r="Z474" s="79">
        <v>462</v>
      </c>
    </row>
    <row r="475" spans="1:26" ht="14.1" customHeight="1" x14ac:dyDescent="0.2">
      <c r="B475" s="2874" t="s">
        <v>1103</v>
      </c>
      <c r="C475" s="1236" t="s">
        <v>669</v>
      </c>
      <c r="D475" s="1524" t="s">
        <v>40</v>
      </c>
      <c r="E475" s="2012" t="s">
        <v>2130</v>
      </c>
      <c r="F475" s="3782">
        <f t="shared" si="22"/>
        <v>208.8008424135173</v>
      </c>
      <c r="G475" s="1289"/>
      <c r="H475" s="1289"/>
      <c r="I475" s="836">
        <v>192652890</v>
      </c>
      <c r="J475" s="1290">
        <v>599488964</v>
      </c>
      <c r="K475" s="1290">
        <v>566221133</v>
      </c>
      <c r="L475" s="1290">
        <v>465607781</v>
      </c>
      <c r="M475" s="1290">
        <v>597441146</v>
      </c>
      <c r="N475" s="1290">
        <v>490637404</v>
      </c>
      <c r="O475" s="1291">
        <v>548036321</v>
      </c>
      <c r="P475" s="1290">
        <v>92845282</v>
      </c>
      <c r="Q475" s="1290">
        <v>526115123</v>
      </c>
      <c r="R475" s="1293" t="s">
        <v>397</v>
      </c>
      <c r="S475" s="1412" t="s">
        <v>66</v>
      </c>
      <c r="T475" s="2248" t="s">
        <v>2435</v>
      </c>
      <c r="U475" s="1294">
        <v>1</v>
      </c>
      <c r="V475" s="1295">
        <v>32509</v>
      </c>
      <c r="W475" s="1296" t="s">
        <v>76</v>
      </c>
      <c r="X475" s="4388" t="s">
        <v>409</v>
      </c>
      <c r="Y475" s="1297">
        <f t="shared" ca="1" si="21"/>
        <v>28.969444444444445</v>
      </c>
    </row>
    <row r="476" spans="1:26" ht="14.1" customHeight="1" x14ac:dyDescent="0.25">
      <c r="A476" s="79">
        <v>464</v>
      </c>
      <c r="B476" s="1067" t="s">
        <v>1685</v>
      </c>
      <c r="C476" s="1240" t="s">
        <v>685</v>
      </c>
      <c r="D476" s="2365"/>
      <c r="E476" s="2011" t="s">
        <v>2130</v>
      </c>
      <c r="F476" s="3782">
        <f t="shared" si="22"/>
        <v>209.54633144033426</v>
      </c>
      <c r="G476" s="2157"/>
      <c r="H476" s="2157"/>
      <c r="I476" s="1068">
        <v>200830698</v>
      </c>
      <c r="J476" s="1927">
        <v>606693432</v>
      </c>
      <c r="K476" s="1927">
        <v>577854520</v>
      </c>
      <c r="L476" s="3412">
        <v>519912738</v>
      </c>
      <c r="M476" s="1927">
        <v>609161784</v>
      </c>
      <c r="N476" s="3412">
        <v>492148792</v>
      </c>
      <c r="O476" s="1874">
        <v>575376796</v>
      </c>
      <c r="P476" s="1927">
        <v>90643506</v>
      </c>
      <c r="Q476" s="1927">
        <v>474676462</v>
      </c>
      <c r="R476" s="2120" t="s">
        <v>686</v>
      </c>
      <c r="S476" s="2507" t="s">
        <v>131</v>
      </c>
      <c r="T476" s="2680" t="s">
        <v>2435</v>
      </c>
      <c r="U476" s="2125">
        <v>1</v>
      </c>
      <c r="V476" s="3440">
        <v>36212</v>
      </c>
      <c r="W476" s="2129" t="s">
        <v>71</v>
      </c>
      <c r="X476" s="4387" t="s">
        <v>280</v>
      </c>
      <c r="Y476" s="1838">
        <f t="shared" ca="1" si="21"/>
        <v>18.830555555555556</v>
      </c>
      <c r="Z476" s="79">
        <v>464</v>
      </c>
    </row>
    <row r="477" spans="1:26" ht="14.1" customHeight="1" x14ac:dyDescent="0.25">
      <c r="B477" s="2874" t="s">
        <v>1103</v>
      </c>
      <c r="C477" s="1237" t="s">
        <v>1299</v>
      </c>
      <c r="D477" s="3208"/>
      <c r="E477" s="2012"/>
      <c r="F477" s="3782">
        <f t="shared" si="22"/>
        <v>210.25257810464541</v>
      </c>
      <c r="G477" s="1289"/>
      <c r="H477" s="1289"/>
      <c r="I477" s="836">
        <v>201310872</v>
      </c>
      <c r="J477" s="1290">
        <v>606693486</v>
      </c>
      <c r="K477" s="1290">
        <v>577854572</v>
      </c>
      <c r="L477" s="1290">
        <v>515061428</v>
      </c>
      <c r="M477" s="1290">
        <v>609160812</v>
      </c>
      <c r="N477" s="1290">
        <v>492148854</v>
      </c>
      <c r="O477" s="1291">
        <v>556782402</v>
      </c>
      <c r="P477" s="1290">
        <v>87405414</v>
      </c>
      <c r="Q477" s="1290">
        <v>510258945</v>
      </c>
      <c r="R477" s="1293" t="s">
        <v>109</v>
      </c>
      <c r="S477" s="1412" t="s">
        <v>131</v>
      </c>
      <c r="T477" s="2248" t="s">
        <v>2435</v>
      </c>
      <c r="U477" s="1294">
        <v>1</v>
      </c>
      <c r="V477" s="1295">
        <v>32947</v>
      </c>
      <c r="W477" s="1296" t="s">
        <v>76</v>
      </c>
      <c r="X477" s="4388" t="s">
        <v>378</v>
      </c>
      <c r="Y477" s="1297">
        <f t="shared" ca="1" si="21"/>
        <v>27.763888888888889</v>
      </c>
    </row>
    <row r="478" spans="1:26" ht="14.1" customHeight="1" x14ac:dyDescent="0.2">
      <c r="A478" s="79">
        <v>466</v>
      </c>
      <c r="B478" s="1066" t="s">
        <v>1685</v>
      </c>
      <c r="C478" s="3389" t="s">
        <v>2195</v>
      </c>
      <c r="D478" s="1666" t="s">
        <v>40</v>
      </c>
      <c r="E478" s="2013" t="s">
        <v>2130</v>
      </c>
      <c r="F478" s="3782">
        <f t="shared" si="22"/>
        <v>210.90490069785932</v>
      </c>
      <c r="G478" s="3404">
        <f>20+50+47+49+43+35+54+10+63</f>
        <v>371</v>
      </c>
      <c r="H478" s="1926"/>
      <c r="I478" s="1068">
        <v>190890539</v>
      </c>
      <c r="J478" s="1927">
        <v>645522444</v>
      </c>
      <c r="K478" s="1927">
        <v>595940677</v>
      </c>
      <c r="L478" s="1927">
        <v>471643198</v>
      </c>
      <c r="M478" s="1927">
        <v>646334734</v>
      </c>
      <c r="N478" s="1927">
        <v>531708618</v>
      </c>
      <c r="O478" s="1874">
        <v>538363243</v>
      </c>
      <c r="P478" s="1927">
        <v>92059110</v>
      </c>
      <c r="Q478" s="3413">
        <v>504268660</v>
      </c>
      <c r="R478" s="1928" t="s">
        <v>428</v>
      </c>
      <c r="S478" s="3423" t="s">
        <v>62</v>
      </c>
      <c r="T478" s="2356" t="s">
        <v>2435</v>
      </c>
      <c r="U478" s="1929">
        <v>1</v>
      </c>
      <c r="V478" s="1930">
        <v>42622</v>
      </c>
      <c r="W478" s="1931" t="s">
        <v>76</v>
      </c>
      <c r="X478" s="4389" t="s">
        <v>2196</v>
      </c>
      <c r="Y478" s="1838">
        <f t="shared" ca="1" si="21"/>
        <v>1.2805555555555554</v>
      </c>
      <c r="Z478" s="79">
        <v>466</v>
      </c>
    </row>
    <row r="479" spans="1:26" ht="14.1" customHeight="1" x14ac:dyDescent="0.2">
      <c r="B479" s="1060" t="s">
        <v>1685</v>
      </c>
      <c r="C479" s="3388" t="s">
        <v>1300</v>
      </c>
      <c r="D479" s="1524" t="s">
        <v>40</v>
      </c>
      <c r="E479" s="2012" t="s">
        <v>2130</v>
      </c>
      <c r="F479" s="3782">
        <f t="shared" si="22"/>
        <v>212.25838774992363</v>
      </c>
      <c r="G479" s="1526">
        <f>148+199+0+404+478+388+486+112+519</f>
        <v>2734</v>
      </c>
      <c r="H479" s="1527"/>
      <c r="I479" s="840">
        <v>195520307</v>
      </c>
      <c r="J479" s="1291">
        <v>726341326</v>
      </c>
      <c r="K479" s="1291">
        <v>655544695</v>
      </c>
      <c r="L479" s="1290">
        <v>467983771</v>
      </c>
      <c r="M479" s="1290">
        <v>803439653</v>
      </c>
      <c r="N479" s="1291">
        <v>653907317</v>
      </c>
      <c r="O479" s="1291">
        <v>505757221</v>
      </c>
      <c r="P479" s="1291">
        <v>83058263</v>
      </c>
      <c r="Q479" s="1291">
        <v>423769057</v>
      </c>
      <c r="R479" s="1293" t="s">
        <v>920</v>
      </c>
      <c r="S479" s="1412" t="s">
        <v>131</v>
      </c>
      <c r="T479" s="2272" t="s">
        <v>2435</v>
      </c>
      <c r="U479" s="1294">
        <v>1</v>
      </c>
      <c r="V479" s="1531">
        <v>34150</v>
      </c>
      <c r="W479" s="3448" t="s">
        <v>106</v>
      </c>
      <c r="X479" s="4390" t="s">
        <v>378</v>
      </c>
      <c r="Y479" s="1297">
        <f t="shared" ca="1" si="21"/>
        <v>24.472222222222221</v>
      </c>
    </row>
    <row r="480" spans="1:26" ht="14.1" customHeight="1" x14ac:dyDescent="0.25">
      <c r="A480" s="79">
        <v>468</v>
      </c>
      <c r="B480" s="2873" t="s">
        <v>1685</v>
      </c>
      <c r="C480" s="3387" t="s">
        <v>415</v>
      </c>
      <c r="D480" s="2879"/>
      <c r="E480" s="2881" t="s">
        <v>2130</v>
      </c>
      <c r="F480" s="3906">
        <f t="shared" si="22"/>
        <v>212.31930941116249</v>
      </c>
      <c r="G480" s="3403"/>
      <c r="H480" s="3403"/>
      <c r="I480" s="1068">
        <v>204122002</v>
      </c>
      <c r="J480" s="1927">
        <v>606693498</v>
      </c>
      <c r="K480" s="1927">
        <v>577854586</v>
      </c>
      <c r="L480" s="1927">
        <v>523659439</v>
      </c>
      <c r="M480" s="1927">
        <v>609160704</v>
      </c>
      <c r="N480" s="1927">
        <v>492148856</v>
      </c>
      <c r="O480" s="1874">
        <v>565988995</v>
      </c>
      <c r="P480" s="1927">
        <v>93405621</v>
      </c>
      <c r="Q480" s="1927">
        <v>493427142</v>
      </c>
      <c r="R480" s="4083" t="s">
        <v>416</v>
      </c>
      <c r="S480" s="4109" t="s">
        <v>131</v>
      </c>
      <c r="T480" s="3428" t="s">
        <v>2435</v>
      </c>
      <c r="U480" s="4155">
        <v>1</v>
      </c>
      <c r="V480" s="4186">
        <v>32439</v>
      </c>
      <c r="W480" s="4213" t="s">
        <v>417</v>
      </c>
      <c r="X480" s="4391" t="s">
        <v>378</v>
      </c>
      <c r="Y480" s="2931">
        <f t="shared" ca="1" si="21"/>
        <v>29.158333333333335</v>
      </c>
      <c r="Z480" s="79">
        <v>468</v>
      </c>
    </row>
    <row r="481" spans="1:26" ht="14.1" customHeight="1" x14ac:dyDescent="0.2">
      <c r="B481" s="2809" t="s">
        <v>1685</v>
      </c>
      <c r="C481" s="2155" t="s">
        <v>2438</v>
      </c>
      <c r="D481" s="2807" t="s">
        <v>40</v>
      </c>
      <c r="E481" s="2808" t="s">
        <v>2130</v>
      </c>
      <c r="F481" s="3782">
        <f t="shared" si="22"/>
        <v>215.5412919013348</v>
      </c>
      <c r="G481" s="3609">
        <f>45.76+126.61+104.64+140.67+104.37+85.85+124.68+24.55+157.27</f>
        <v>914.39999999999986</v>
      </c>
      <c r="H481" s="3617"/>
      <c r="I481" s="836">
        <v>185557477</v>
      </c>
      <c r="J481" s="1290">
        <v>663406815</v>
      </c>
      <c r="K481" s="1290">
        <v>612425493</v>
      </c>
      <c r="L481" s="1290">
        <v>525932658</v>
      </c>
      <c r="M481" s="1290">
        <v>664613793</v>
      </c>
      <c r="N481" s="1290">
        <v>545905436</v>
      </c>
      <c r="O481" s="1291">
        <v>564946836</v>
      </c>
      <c r="P481" s="1290">
        <v>89251121</v>
      </c>
      <c r="Q481" s="1290">
        <v>518820401</v>
      </c>
      <c r="R481" s="3628" t="s">
        <v>2437</v>
      </c>
      <c r="S481" s="3638" t="s">
        <v>66</v>
      </c>
      <c r="T481" s="2804" t="s">
        <v>2435</v>
      </c>
      <c r="U481" s="3648">
        <v>1</v>
      </c>
      <c r="V481" s="3657">
        <v>42309</v>
      </c>
      <c r="W481" s="3665" t="s">
        <v>76</v>
      </c>
      <c r="X481" s="4392" t="s">
        <v>404</v>
      </c>
      <c r="Y481" s="3667">
        <f t="shared" ca="1" si="21"/>
        <v>2.1361111111111111</v>
      </c>
    </row>
    <row r="482" spans="1:26" ht="14.1" customHeight="1" x14ac:dyDescent="0.2">
      <c r="A482" s="79">
        <v>470</v>
      </c>
      <c r="B482" s="2545" t="s">
        <v>1685</v>
      </c>
      <c r="C482" s="1239" t="s">
        <v>1080</v>
      </c>
      <c r="D482" s="1666" t="s">
        <v>40</v>
      </c>
      <c r="E482" s="2011" t="s">
        <v>2130</v>
      </c>
      <c r="F482" s="3782">
        <f t="shared" si="22"/>
        <v>216.57745982052211</v>
      </c>
      <c r="G482" s="2245">
        <f>27+3+0+143+4+2+60+40+209</f>
        <v>488</v>
      </c>
      <c r="H482" s="2245"/>
      <c r="I482" s="1299">
        <v>230895612</v>
      </c>
      <c r="J482" s="1874">
        <v>601090493</v>
      </c>
      <c r="K482" s="1874">
        <v>568252891</v>
      </c>
      <c r="L482" s="1874">
        <v>467001226</v>
      </c>
      <c r="M482" s="1874">
        <v>599506436</v>
      </c>
      <c r="N482" s="1874">
        <v>491869659</v>
      </c>
      <c r="O482" s="1874">
        <v>560257802</v>
      </c>
      <c r="P482" s="1874">
        <v>93575542</v>
      </c>
      <c r="Q482" s="1874">
        <v>530436638</v>
      </c>
      <c r="R482" s="4084" t="s">
        <v>1078</v>
      </c>
      <c r="S482" s="4110" t="s">
        <v>66</v>
      </c>
      <c r="T482" s="4132" t="s">
        <v>2435</v>
      </c>
      <c r="U482" s="4156">
        <v>1</v>
      </c>
      <c r="V482" s="4187">
        <v>40221</v>
      </c>
      <c r="W482" s="4214" t="s">
        <v>106</v>
      </c>
      <c r="X482" s="4393" t="s">
        <v>1079</v>
      </c>
      <c r="Y482" s="1838">
        <f t="shared" ca="1" si="21"/>
        <v>7.8555555555555552</v>
      </c>
      <c r="Z482" s="79">
        <v>470</v>
      </c>
    </row>
    <row r="483" spans="1:26" ht="14.1" customHeight="1" x14ac:dyDescent="0.2">
      <c r="B483" s="1061" t="s">
        <v>1685</v>
      </c>
      <c r="C483" s="1237" t="s">
        <v>668</v>
      </c>
      <c r="D483" s="1524"/>
      <c r="E483" s="2012" t="s">
        <v>2130</v>
      </c>
      <c r="F483" s="3782">
        <f t="shared" si="22"/>
        <v>217.27300894441046</v>
      </c>
      <c r="G483" s="1526"/>
      <c r="H483" s="1527"/>
      <c r="I483" s="840">
        <v>206235519</v>
      </c>
      <c r="J483" s="1291">
        <v>606693441</v>
      </c>
      <c r="K483" s="1291">
        <v>577854528</v>
      </c>
      <c r="L483" s="1290">
        <v>530518796</v>
      </c>
      <c r="M483" s="1291">
        <v>609161757</v>
      </c>
      <c r="N483" s="1291">
        <v>492148770</v>
      </c>
      <c r="O483" s="1291">
        <v>575127899</v>
      </c>
      <c r="P483" s="1291">
        <v>97988096</v>
      </c>
      <c r="Q483" s="1291">
        <v>522334609</v>
      </c>
      <c r="R483" s="1528" t="s">
        <v>667</v>
      </c>
      <c r="S483" s="1529" t="s">
        <v>131</v>
      </c>
      <c r="T483" s="2367" t="s">
        <v>2435</v>
      </c>
      <c r="U483" s="1530">
        <v>1</v>
      </c>
      <c r="V483" s="1531">
        <v>34820</v>
      </c>
      <c r="W483" s="1532" t="s">
        <v>417</v>
      </c>
      <c r="X483" s="4386" t="s">
        <v>485</v>
      </c>
      <c r="Y483" s="1297">
        <f t="shared" ca="1" si="21"/>
        <v>22.636111111111113</v>
      </c>
    </row>
    <row r="484" spans="1:26" ht="14.1" customHeight="1" x14ac:dyDescent="0.25">
      <c r="A484" s="79">
        <v>472</v>
      </c>
      <c r="B484" s="1066" t="s">
        <v>1685</v>
      </c>
      <c r="C484" s="1238" t="s">
        <v>419</v>
      </c>
      <c r="D484" s="1961"/>
      <c r="E484" s="2013" t="s">
        <v>2130</v>
      </c>
      <c r="F484" s="3782">
        <f t="shared" si="22"/>
        <v>217.70499222937886</v>
      </c>
      <c r="G484" s="1926"/>
      <c r="H484" s="1926"/>
      <c r="I484" s="1068">
        <v>197444817</v>
      </c>
      <c r="J484" s="1927">
        <v>601356054</v>
      </c>
      <c r="K484" s="1927">
        <v>575341901</v>
      </c>
      <c r="L484" s="1927">
        <v>528530777</v>
      </c>
      <c r="M484" s="1927">
        <v>598375281</v>
      </c>
      <c r="N484" s="1927">
        <v>491269047</v>
      </c>
      <c r="O484" s="1874">
        <v>579447071</v>
      </c>
      <c r="P484" s="1927">
        <v>95096822</v>
      </c>
      <c r="Q484" s="1927">
        <v>564587326</v>
      </c>
      <c r="R484" s="1928" t="s">
        <v>420</v>
      </c>
      <c r="S484" s="2036" t="s">
        <v>131</v>
      </c>
      <c r="T484" s="2356" t="s">
        <v>2435</v>
      </c>
      <c r="U484" s="1929">
        <v>1</v>
      </c>
      <c r="V484" s="1930">
        <v>36240</v>
      </c>
      <c r="W484" s="1931" t="s">
        <v>285</v>
      </c>
      <c r="X484" s="4389" t="s">
        <v>421</v>
      </c>
      <c r="Y484" s="1838">
        <f t="shared" ca="1" si="21"/>
        <v>18.747222222222224</v>
      </c>
      <c r="Z484" s="79">
        <v>472</v>
      </c>
    </row>
    <row r="485" spans="1:26" ht="14.1" customHeight="1" x14ac:dyDescent="0.2">
      <c r="A485" s="79"/>
      <c r="B485" s="3798" t="s">
        <v>1103</v>
      </c>
      <c r="C485" s="1514" t="s">
        <v>670</v>
      </c>
      <c r="D485" s="1524" t="s">
        <v>40</v>
      </c>
      <c r="E485" s="2012" t="s">
        <v>2130</v>
      </c>
      <c r="F485" s="3782">
        <f t="shared" si="22"/>
        <v>218.70396763840373</v>
      </c>
      <c r="G485" s="2172"/>
      <c r="H485" s="2172"/>
      <c r="I485" s="836">
        <v>200909716</v>
      </c>
      <c r="J485" s="2173">
        <v>600072429</v>
      </c>
      <c r="K485" s="2173">
        <v>566771540</v>
      </c>
      <c r="L485" s="2173">
        <v>489626559</v>
      </c>
      <c r="M485" s="2173">
        <v>597903563</v>
      </c>
      <c r="N485" s="2173">
        <v>490803380</v>
      </c>
      <c r="O485" s="2174">
        <v>552448788</v>
      </c>
      <c r="P485" s="2173">
        <v>103774973</v>
      </c>
      <c r="Q485" s="2173">
        <v>568714981</v>
      </c>
      <c r="R485" s="2176" t="s">
        <v>397</v>
      </c>
      <c r="S485" s="2248" t="s">
        <v>66</v>
      </c>
      <c r="T485" s="2272" t="s">
        <v>2435</v>
      </c>
      <c r="U485" s="2177">
        <v>1</v>
      </c>
      <c r="V485" s="2178">
        <v>32509</v>
      </c>
      <c r="W485" s="2179" t="s">
        <v>76</v>
      </c>
      <c r="X485" s="4394" t="s">
        <v>418</v>
      </c>
      <c r="Y485" s="2180">
        <f t="shared" ca="1" si="21"/>
        <v>28.969444444444445</v>
      </c>
      <c r="Z485" s="79"/>
    </row>
    <row r="486" spans="1:26" ht="14.1" customHeight="1" x14ac:dyDescent="0.2">
      <c r="A486" s="79">
        <v>474</v>
      </c>
      <c r="B486" s="1066" t="s">
        <v>1685</v>
      </c>
      <c r="C486" s="1238" t="s">
        <v>2620</v>
      </c>
      <c r="D486" s="1666" t="s">
        <v>40</v>
      </c>
      <c r="E486" s="2011" t="s">
        <v>2130</v>
      </c>
      <c r="F486" s="3782">
        <f t="shared" si="22"/>
        <v>219.47564092380131</v>
      </c>
      <c r="G486" s="2181"/>
      <c r="H486" s="2181"/>
      <c r="I486" s="1068">
        <v>199571542</v>
      </c>
      <c r="J486" s="2182">
        <v>681373285</v>
      </c>
      <c r="K486" s="2182">
        <v>603277109</v>
      </c>
      <c r="L486" s="2182">
        <v>498362339</v>
      </c>
      <c r="M486" s="2182">
        <v>716031334</v>
      </c>
      <c r="N486" s="2182">
        <v>586158474</v>
      </c>
      <c r="O486" s="2183">
        <v>504918639</v>
      </c>
      <c r="P486" s="2182">
        <v>101283585</v>
      </c>
      <c r="Q486" s="2182">
        <v>503408283</v>
      </c>
      <c r="R486" s="2184" t="s">
        <v>426</v>
      </c>
      <c r="S486" s="2250" t="s">
        <v>131</v>
      </c>
      <c r="T486" s="2356" t="s">
        <v>2435</v>
      </c>
      <c r="U486" s="2185">
        <v>1</v>
      </c>
      <c r="V486" s="2186">
        <v>32610</v>
      </c>
      <c r="W486" s="2187" t="s">
        <v>121</v>
      </c>
      <c r="X486" s="4395" t="s">
        <v>427</v>
      </c>
      <c r="Y486" s="1838">
        <f t="shared" ca="1" si="21"/>
        <v>28.68888888888889</v>
      </c>
      <c r="Z486" s="79">
        <v>474</v>
      </c>
    </row>
    <row r="487" spans="1:26" ht="14.1" customHeight="1" x14ac:dyDescent="0.2">
      <c r="B487" s="1060" t="s">
        <v>1685</v>
      </c>
      <c r="C487" s="3817" t="s">
        <v>422</v>
      </c>
      <c r="D487" s="1524" t="s">
        <v>40</v>
      </c>
      <c r="E487" s="2012" t="s">
        <v>2130</v>
      </c>
      <c r="F487" s="3782">
        <f t="shared" si="22"/>
        <v>219.47981184600692</v>
      </c>
      <c r="G487" s="2369"/>
      <c r="H487" s="2369"/>
      <c r="I487" s="836">
        <v>197858304</v>
      </c>
      <c r="J487" s="2173">
        <v>601071104</v>
      </c>
      <c r="K487" s="2173">
        <v>573760000</v>
      </c>
      <c r="L487" s="2173">
        <v>536207680</v>
      </c>
      <c r="M487" s="2173">
        <v>597608960</v>
      </c>
      <c r="N487" s="2173">
        <v>490857984</v>
      </c>
      <c r="O487" s="2174">
        <v>573739520</v>
      </c>
      <c r="P487" s="2173">
        <v>97385984</v>
      </c>
      <c r="Q487" s="2173">
        <v>575679488</v>
      </c>
      <c r="R487" s="2290" t="s">
        <v>423</v>
      </c>
      <c r="S487" s="2292" t="s">
        <v>131</v>
      </c>
      <c r="T487" s="2367" t="s">
        <v>2435</v>
      </c>
      <c r="U487" s="2294">
        <v>1</v>
      </c>
      <c r="V487" s="2296">
        <v>33895</v>
      </c>
      <c r="W487" s="2298" t="s">
        <v>76</v>
      </c>
      <c r="X487" s="4396" t="s">
        <v>424</v>
      </c>
      <c r="Y487" s="2180">
        <f t="shared" ca="1" si="21"/>
        <v>25.172222222222221</v>
      </c>
    </row>
    <row r="488" spans="1:26" ht="14.1" customHeight="1" x14ac:dyDescent="0.2">
      <c r="A488" s="79">
        <v>476</v>
      </c>
      <c r="B488" s="1067" t="s">
        <v>1685</v>
      </c>
      <c r="C488" s="1239" t="s">
        <v>1345</v>
      </c>
      <c r="D488" s="1666" t="s">
        <v>40</v>
      </c>
      <c r="E488" s="2011" t="s">
        <v>2130</v>
      </c>
      <c r="F488" s="3782">
        <f t="shared" si="22"/>
        <v>219.98225991431323</v>
      </c>
      <c r="G488" s="3703">
        <f>10.5+29.4+17+23.1+29.9+20.4+30.1+3.1+26.4</f>
        <v>189.9</v>
      </c>
      <c r="H488" s="2605"/>
      <c r="I488" s="1299">
        <v>215032464</v>
      </c>
      <c r="J488" s="2183">
        <v>603177518</v>
      </c>
      <c r="K488" s="2183">
        <v>567965222</v>
      </c>
      <c r="L488" s="2183">
        <v>479666248</v>
      </c>
      <c r="M488" s="2183">
        <v>602049860</v>
      </c>
      <c r="N488" s="2183">
        <v>491790752</v>
      </c>
      <c r="O488" s="2183">
        <v>550634498</v>
      </c>
      <c r="P488" s="2183">
        <v>106248148</v>
      </c>
      <c r="Q488" s="2183">
        <v>546406448</v>
      </c>
      <c r="R488" s="2277" t="s">
        <v>1346</v>
      </c>
      <c r="S488" s="3874" t="s">
        <v>62</v>
      </c>
      <c r="T488" s="2681" t="s">
        <v>2435</v>
      </c>
      <c r="U488" s="2278">
        <v>1</v>
      </c>
      <c r="V488" s="2279">
        <v>41487</v>
      </c>
      <c r="W488" s="3905" t="s">
        <v>106</v>
      </c>
      <c r="X488" s="4397" t="s">
        <v>1344</v>
      </c>
      <c r="Y488" s="1838">
        <f t="shared" ca="1" si="21"/>
        <v>4.3861111111111111</v>
      </c>
      <c r="Z488" s="79">
        <v>476</v>
      </c>
    </row>
    <row r="489" spans="1:26" ht="14.1" customHeight="1" x14ac:dyDescent="0.2">
      <c r="B489" s="1061" t="s">
        <v>1685</v>
      </c>
      <c r="C489" s="1236" t="s">
        <v>1220</v>
      </c>
      <c r="D489" s="1524" t="s">
        <v>40</v>
      </c>
      <c r="E489" s="2012" t="s">
        <v>2130</v>
      </c>
      <c r="F489" s="3782">
        <f t="shared" si="22"/>
        <v>220.13566849091808</v>
      </c>
      <c r="G489" s="2367">
        <f>1607+1269+1298+2986+1190+950+2091+982+4224</f>
        <v>16597</v>
      </c>
      <c r="H489" s="2369"/>
      <c r="I489" s="840">
        <v>133035184</v>
      </c>
      <c r="J489" s="2173">
        <v>606681892</v>
      </c>
      <c r="K489" s="2174">
        <v>529145911</v>
      </c>
      <c r="L489" s="2174">
        <v>379711111</v>
      </c>
      <c r="M489" s="2174">
        <v>609139052</v>
      </c>
      <c r="N489" s="2174">
        <v>487741695</v>
      </c>
      <c r="O489" s="2174">
        <v>440331541</v>
      </c>
      <c r="P489" s="2174">
        <v>53861065</v>
      </c>
      <c r="Q489" s="2174">
        <v>1000000000</v>
      </c>
      <c r="R489" s="2290" t="s">
        <v>302</v>
      </c>
      <c r="S489" s="2292" t="s">
        <v>66</v>
      </c>
      <c r="T489" s="2367" t="s">
        <v>2435</v>
      </c>
      <c r="U489" s="2294">
        <v>1</v>
      </c>
      <c r="V489" s="2296">
        <v>41335</v>
      </c>
      <c r="W489" s="2298" t="s">
        <v>1221</v>
      </c>
      <c r="X489" s="4396" t="s">
        <v>691</v>
      </c>
      <c r="Y489" s="2180">
        <f t="shared" ca="1" si="21"/>
        <v>4.8</v>
      </c>
    </row>
    <row r="490" spans="1:26" ht="14.1" customHeight="1" x14ac:dyDescent="0.25">
      <c r="A490" s="79">
        <v>478</v>
      </c>
      <c r="B490" s="2873" t="s">
        <v>1685</v>
      </c>
      <c r="C490" s="3387" t="s">
        <v>2177</v>
      </c>
      <c r="D490" s="2879"/>
      <c r="E490" s="2881" t="s">
        <v>2130</v>
      </c>
      <c r="F490" s="3906">
        <f t="shared" si="22"/>
        <v>225.83055932358613</v>
      </c>
      <c r="G490" s="3402"/>
      <c r="H490" s="3402"/>
      <c r="I490" s="1068">
        <v>207668511</v>
      </c>
      <c r="J490" s="2182">
        <v>793059566</v>
      </c>
      <c r="K490" s="2182">
        <v>703829315</v>
      </c>
      <c r="L490" s="2182">
        <v>523011059</v>
      </c>
      <c r="M490" s="2182">
        <v>604469287</v>
      </c>
      <c r="N490" s="2182">
        <v>492941891</v>
      </c>
      <c r="O490" s="2183">
        <v>576242256</v>
      </c>
      <c r="P490" s="2182">
        <v>97337581</v>
      </c>
      <c r="Q490" s="2182">
        <v>517547331</v>
      </c>
      <c r="R490" s="3415" t="s">
        <v>70</v>
      </c>
      <c r="S490" s="3421" t="s">
        <v>131</v>
      </c>
      <c r="T490" s="3428" t="s">
        <v>2435</v>
      </c>
      <c r="U490" s="3433">
        <v>1</v>
      </c>
      <c r="V490" s="3439">
        <v>32032</v>
      </c>
      <c r="W490" s="3447" t="s">
        <v>417</v>
      </c>
      <c r="X490" s="4398" t="s">
        <v>107</v>
      </c>
      <c r="Y490" s="2931">
        <f t="shared" ca="1" si="21"/>
        <v>30.272222222222222</v>
      </c>
      <c r="Z490" s="79">
        <v>478</v>
      </c>
    </row>
    <row r="491" spans="1:26" ht="14.1" customHeight="1" x14ac:dyDescent="0.2">
      <c r="B491" s="1061" t="s">
        <v>1685</v>
      </c>
      <c r="C491" s="3818" t="s">
        <v>1684</v>
      </c>
      <c r="D491" s="1524" t="s">
        <v>40</v>
      </c>
      <c r="E491" s="2012" t="s">
        <v>2130</v>
      </c>
      <c r="F491" s="3782">
        <f t="shared" si="22"/>
        <v>227.73801530385055</v>
      </c>
      <c r="G491" s="2172"/>
      <c r="H491" s="2172"/>
      <c r="I491" s="840">
        <v>221616869</v>
      </c>
      <c r="J491" s="2173">
        <v>551759086</v>
      </c>
      <c r="K491" s="2174">
        <v>531757796</v>
      </c>
      <c r="L491" s="2174">
        <v>495303273</v>
      </c>
      <c r="M491" s="2174">
        <v>603191503</v>
      </c>
      <c r="N491" s="2174">
        <v>494813225</v>
      </c>
      <c r="O491" s="2174">
        <v>426346134</v>
      </c>
      <c r="P491" s="2174">
        <v>126010691</v>
      </c>
      <c r="Q491" s="2174">
        <v>631241983</v>
      </c>
      <c r="R491" s="2176" t="s">
        <v>410</v>
      </c>
      <c r="S491" s="2248" t="s">
        <v>66</v>
      </c>
      <c r="T491" s="2272" t="s">
        <v>2435</v>
      </c>
      <c r="U491" s="2177">
        <v>1</v>
      </c>
      <c r="V491" s="2178">
        <v>39431</v>
      </c>
      <c r="W491" s="2179" t="s">
        <v>76</v>
      </c>
      <c r="X491" s="4394" t="s">
        <v>1409</v>
      </c>
      <c r="Y491" s="2180">
        <f t="shared" ca="1" si="21"/>
        <v>10.013888888888889</v>
      </c>
    </row>
    <row r="492" spans="1:26" ht="14.1" customHeight="1" x14ac:dyDescent="0.2">
      <c r="A492" s="79">
        <v>480</v>
      </c>
      <c r="B492" s="1067" t="s">
        <v>1685</v>
      </c>
      <c r="C492" s="1239" t="s">
        <v>1683</v>
      </c>
      <c r="D492" s="1666" t="s">
        <v>40</v>
      </c>
      <c r="E492" s="2011" t="s">
        <v>2130</v>
      </c>
      <c r="F492" s="3782">
        <f t="shared" si="22"/>
        <v>227.75878514358496</v>
      </c>
      <c r="G492" s="3703">
        <f>12.39+41.43+50.08+29.32+33.99+28.08+26.99+7.16+39.43</f>
        <v>268.87</v>
      </c>
      <c r="H492" s="3703"/>
      <c r="I492" s="1299">
        <v>221407712</v>
      </c>
      <c r="J492" s="2183">
        <v>551428114</v>
      </c>
      <c r="K492" s="2183">
        <v>531374502</v>
      </c>
      <c r="L492" s="2183">
        <v>494997780</v>
      </c>
      <c r="M492" s="2183">
        <v>602838200</v>
      </c>
      <c r="N492" s="2183">
        <v>494512998</v>
      </c>
      <c r="O492" s="2183">
        <v>426133150</v>
      </c>
      <c r="P492" s="2183">
        <v>126109568</v>
      </c>
      <c r="Q492" s="2183">
        <v>630848104</v>
      </c>
      <c r="R492" s="2277" t="s">
        <v>183</v>
      </c>
      <c r="S492" s="3703" t="s">
        <v>66</v>
      </c>
      <c r="T492" s="2681" t="s">
        <v>2435</v>
      </c>
      <c r="U492" s="2278">
        <v>1</v>
      </c>
      <c r="V492" s="2279">
        <v>39556</v>
      </c>
      <c r="W492" s="2280" t="s">
        <v>2214</v>
      </c>
      <c r="X492" s="4397" t="s">
        <v>1398</v>
      </c>
      <c r="Y492" s="1838">
        <f t="shared" ca="1" si="21"/>
        <v>9.6722222222222225</v>
      </c>
      <c r="Z492" s="79">
        <v>480</v>
      </c>
    </row>
    <row r="493" spans="1:26" ht="14.1" customHeight="1" x14ac:dyDescent="0.2">
      <c r="B493" s="1061" t="s">
        <v>1685</v>
      </c>
      <c r="C493" s="1514" t="s">
        <v>1679</v>
      </c>
      <c r="D493" s="1524" t="s">
        <v>40</v>
      </c>
      <c r="E493" s="2012" t="s">
        <v>2130</v>
      </c>
      <c r="F493" s="3782">
        <f t="shared" si="22"/>
        <v>228.26702873422994</v>
      </c>
      <c r="G493" s="4021">
        <f>20.89+50.2+47.9+49.51+56.94+45.3+43.88+12.09+63.48</f>
        <v>390.19</v>
      </c>
      <c r="H493" s="1289"/>
      <c r="I493" s="840">
        <v>221883497</v>
      </c>
      <c r="J493" s="1290">
        <v>552234494</v>
      </c>
      <c r="K493" s="1291">
        <v>532157646</v>
      </c>
      <c r="L493" s="1291">
        <v>496183959</v>
      </c>
      <c r="M493" s="1291">
        <v>603730654</v>
      </c>
      <c r="N493" s="1291">
        <v>495218678</v>
      </c>
      <c r="O493" s="1291">
        <v>427197582</v>
      </c>
      <c r="P493" s="1291">
        <v>126387796</v>
      </c>
      <c r="Q493" s="1291">
        <v>632153014</v>
      </c>
      <c r="R493" s="1293" t="s">
        <v>411</v>
      </c>
      <c r="S493" s="1412" t="s">
        <v>66</v>
      </c>
      <c r="T493" s="2272" t="s">
        <v>2435</v>
      </c>
      <c r="U493" s="1294">
        <v>1</v>
      </c>
      <c r="V493" s="1295">
        <v>39544</v>
      </c>
      <c r="W493" s="1296" t="s">
        <v>76</v>
      </c>
      <c r="X493" s="4388" t="s">
        <v>375</v>
      </c>
      <c r="Y493" s="1297">
        <f t="shared" ca="1" si="21"/>
        <v>9.7055555555555557</v>
      </c>
    </row>
    <row r="494" spans="1:26" ht="14.1" customHeight="1" x14ac:dyDescent="0.25">
      <c r="A494" s="79">
        <v>482</v>
      </c>
      <c r="B494" s="1066" t="s">
        <v>1685</v>
      </c>
      <c r="C494" s="1239" t="s">
        <v>612</v>
      </c>
      <c r="D494" s="1961"/>
      <c r="E494" s="2013" t="s">
        <v>2130</v>
      </c>
      <c r="F494" s="3782">
        <f t="shared" si="22"/>
        <v>228.63810297080192</v>
      </c>
      <c r="G494" s="4006">
        <f>26.8+38.1+33.9+37.1+29.5+14.4+6.9+19.9+15.7</f>
        <v>222.3</v>
      </c>
      <c r="H494" s="2887"/>
      <c r="I494" s="1068">
        <v>187379609</v>
      </c>
      <c r="J494" s="2889">
        <v>939239274</v>
      </c>
      <c r="K494" s="2889">
        <v>824572486</v>
      </c>
      <c r="L494" s="2889">
        <v>526511196</v>
      </c>
      <c r="M494" s="2889">
        <v>908024207</v>
      </c>
      <c r="N494" s="2889">
        <v>745677863</v>
      </c>
      <c r="O494" s="2276">
        <v>666612277</v>
      </c>
      <c r="P494" s="2889">
        <v>72765155</v>
      </c>
      <c r="Q494" s="2889">
        <v>389368955</v>
      </c>
      <c r="R494" s="2893" t="s">
        <v>611</v>
      </c>
      <c r="S494" s="4111" t="s">
        <v>62</v>
      </c>
      <c r="T494" s="2356" t="s">
        <v>2435</v>
      </c>
      <c r="U494" s="4157">
        <v>8</v>
      </c>
      <c r="V494" s="2908">
        <v>40928</v>
      </c>
      <c r="W494" s="2912" t="s">
        <v>417</v>
      </c>
      <c r="X494" s="4399" t="s">
        <v>280</v>
      </c>
      <c r="Y494" s="1838">
        <f t="shared" ca="1" si="21"/>
        <v>5.916666666666667</v>
      </c>
      <c r="Z494" s="79">
        <v>482</v>
      </c>
    </row>
    <row r="495" spans="1:26" ht="14.1" customHeight="1" x14ac:dyDescent="0.2">
      <c r="B495" s="1060" t="s">
        <v>1685</v>
      </c>
      <c r="C495" s="1237" t="s">
        <v>1301</v>
      </c>
      <c r="D495" s="1524"/>
      <c r="E495" s="2012" t="s">
        <v>2130</v>
      </c>
      <c r="F495" s="3782">
        <f t="shared" si="22"/>
        <v>233.75296322313366</v>
      </c>
      <c r="G495" s="2369"/>
      <c r="H495" s="2369"/>
      <c r="I495" s="840">
        <v>202266867</v>
      </c>
      <c r="J495" s="2174">
        <v>669307213</v>
      </c>
      <c r="K495" s="2174">
        <v>541801280</v>
      </c>
      <c r="L495" s="2174">
        <v>593059971</v>
      </c>
      <c r="M495" s="2174">
        <v>668130019</v>
      </c>
      <c r="N495" s="2174">
        <v>548761681</v>
      </c>
      <c r="O495" s="2174">
        <v>581878559</v>
      </c>
      <c r="P495" s="2174">
        <v>103649178</v>
      </c>
      <c r="Q495" s="2174">
        <v>627182671</v>
      </c>
      <c r="R495" s="2290" t="s">
        <v>292</v>
      </c>
      <c r="S495" s="2367" t="s">
        <v>131</v>
      </c>
      <c r="T495" s="2367" t="s">
        <v>2435</v>
      </c>
      <c r="U495" s="2294">
        <v>1</v>
      </c>
      <c r="V495" s="2296">
        <v>34726</v>
      </c>
      <c r="W495" s="2298" t="s">
        <v>661</v>
      </c>
      <c r="X495" s="4396" t="s">
        <v>1410</v>
      </c>
      <c r="Y495" s="2180">
        <f t="shared" ca="1" si="21"/>
        <v>22.897222222222222</v>
      </c>
    </row>
    <row r="496" spans="1:26" ht="14.1" customHeight="1" x14ac:dyDescent="0.25">
      <c r="A496" s="79">
        <v>484</v>
      </c>
      <c r="B496" s="1509" t="s">
        <v>1103</v>
      </c>
      <c r="C496" s="1510" t="s">
        <v>435</v>
      </c>
      <c r="D496" s="1961"/>
      <c r="E496" s="2013" t="s">
        <v>2130</v>
      </c>
      <c r="F496" s="3782">
        <f t="shared" si="22"/>
        <v>235.35104124655089</v>
      </c>
      <c r="G496" s="2347"/>
      <c r="H496" s="2347"/>
      <c r="I496" s="1068">
        <v>206509238</v>
      </c>
      <c r="J496" s="2357">
        <v>782242543</v>
      </c>
      <c r="K496" s="2357">
        <v>698281620</v>
      </c>
      <c r="L496" s="2357">
        <v>532228408</v>
      </c>
      <c r="M496" s="2357">
        <v>809280806</v>
      </c>
      <c r="N496" s="2357">
        <v>665070456</v>
      </c>
      <c r="O496" s="2349">
        <v>575982829</v>
      </c>
      <c r="P496" s="2357">
        <v>98181472</v>
      </c>
      <c r="Q496" s="2357">
        <v>524629347</v>
      </c>
      <c r="R496" s="2350" t="s">
        <v>436</v>
      </c>
      <c r="S496" s="2351" t="s">
        <v>66</v>
      </c>
      <c r="T496" s="2356" t="s">
        <v>2435</v>
      </c>
      <c r="U496" s="2352">
        <v>1</v>
      </c>
      <c r="V496" s="2353">
        <v>36188</v>
      </c>
      <c r="W496" s="2354" t="s">
        <v>181</v>
      </c>
      <c r="X496" s="4400" t="s">
        <v>437</v>
      </c>
      <c r="Y496" s="2355">
        <f t="shared" ca="1" si="21"/>
        <v>18.894444444444446</v>
      </c>
      <c r="Z496" s="79">
        <v>484</v>
      </c>
    </row>
    <row r="497" spans="1:26" ht="14.1" customHeight="1" x14ac:dyDescent="0.2">
      <c r="B497" s="1061" t="s">
        <v>1685</v>
      </c>
      <c r="C497" s="2149" t="s">
        <v>2652</v>
      </c>
      <c r="D497" s="1524" t="s">
        <v>40</v>
      </c>
      <c r="E497" s="3599" t="s">
        <v>2130</v>
      </c>
      <c r="F497" s="3782">
        <f t="shared" si="22"/>
        <v>236.05423330844323</v>
      </c>
      <c r="G497" s="2272">
        <f>119.21+219.26+251.97+221+209.87+171.59+248.68+68.97+338.72</f>
        <v>1849.27</v>
      </c>
      <c r="H497" s="2172"/>
      <c r="I497" s="836">
        <v>229250824</v>
      </c>
      <c r="J497" s="2173">
        <v>570578544</v>
      </c>
      <c r="K497" s="2173">
        <v>539511552</v>
      </c>
      <c r="L497" s="2173">
        <v>494111020</v>
      </c>
      <c r="M497" s="2173">
        <v>599583536</v>
      </c>
      <c r="N497" s="2173">
        <v>491021380</v>
      </c>
      <c r="O497" s="2174">
        <v>488018216</v>
      </c>
      <c r="P497" s="2173">
        <v>130386516</v>
      </c>
      <c r="Q497" s="2173">
        <v>650999656</v>
      </c>
      <c r="R497" s="2176" t="s">
        <v>2653</v>
      </c>
      <c r="S497" s="2272" t="s">
        <v>66</v>
      </c>
      <c r="T497" s="2272" t="s">
        <v>2435</v>
      </c>
      <c r="U497" s="2177">
        <v>1</v>
      </c>
      <c r="V497" s="2178">
        <v>42963</v>
      </c>
      <c r="W497" s="2179" t="s">
        <v>121</v>
      </c>
      <c r="X497" s="4394" t="s">
        <v>459</v>
      </c>
      <c r="Y497" s="2180">
        <f t="shared" ca="1" si="21"/>
        <v>0.34444444444444444</v>
      </c>
    </row>
    <row r="498" spans="1:26" ht="14.1" customHeight="1" x14ac:dyDescent="0.25">
      <c r="A498" s="79">
        <v>486</v>
      </c>
      <c r="B498" s="1509" t="s">
        <v>1103</v>
      </c>
      <c r="C498" s="1510" t="s">
        <v>515</v>
      </c>
      <c r="D498" s="2603"/>
      <c r="E498" s="2013" t="s">
        <v>2130</v>
      </c>
      <c r="F498" s="3782">
        <f t="shared" si="22"/>
        <v>237.48563576488976</v>
      </c>
      <c r="G498" s="2356">
        <f>39.39+97.3+93.59+91.83+102.78+84.5+73.41+22.28+115.48</f>
        <v>720.56</v>
      </c>
      <c r="H498" s="2347"/>
      <c r="I498" s="1068">
        <v>227850479</v>
      </c>
      <c r="J498" s="2357">
        <v>579734564</v>
      </c>
      <c r="K498" s="2357">
        <v>555805771</v>
      </c>
      <c r="L498" s="2357">
        <v>529250421</v>
      </c>
      <c r="M498" s="2357">
        <v>630022731</v>
      </c>
      <c r="N498" s="2357">
        <v>517048693</v>
      </c>
      <c r="O498" s="2348">
        <v>430602927</v>
      </c>
      <c r="P498" s="2357">
        <v>130692325</v>
      </c>
      <c r="Q498" s="2357">
        <v>662483540</v>
      </c>
      <c r="R498" s="2350" t="s">
        <v>159</v>
      </c>
      <c r="S498" s="2351" t="s">
        <v>66</v>
      </c>
      <c r="T498" s="2356" t="s">
        <v>2435</v>
      </c>
      <c r="U498" s="2352">
        <v>1</v>
      </c>
      <c r="V498" s="2353">
        <v>36893</v>
      </c>
      <c r="W498" s="2354" t="s">
        <v>106</v>
      </c>
      <c r="X498" s="4400" t="s">
        <v>425</v>
      </c>
      <c r="Y498" s="2355">
        <f t="shared" ca="1" si="21"/>
        <v>16.966666666666665</v>
      </c>
      <c r="Z498" s="79">
        <v>486</v>
      </c>
    </row>
    <row r="499" spans="1:26" ht="14.1" customHeight="1" x14ac:dyDescent="0.2">
      <c r="B499" s="2809" t="s">
        <v>1685</v>
      </c>
      <c r="C499" s="2155" t="s">
        <v>2428</v>
      </c>
      <c r="D499" s="2807" t="s">
        <v>40</v>
      </c>
      <c r="E499" s="2808" t="s">
        <v>2130</v>
      </c>
      <c r="F499" s="3782">
        <f t="shared" si="22"/>
        <v>237.64847047725797</v>
      </c>
      <c r="G499" s="2805">
        <f>16.4+147.62+59.3+85.9+84+37.7+70.1+9.1+83.6</f>
        <v>593.72</v>
      </c>
      <c r="H499" s="2806"/>
      <c r="I499" s="836">
        <v>231588914</v>
      </c>
      <c r="J499" s="2173">
        <v>570995472</v>
      </c>
      <c r="K499" s="2173">
        <v>541157369</v>
      </c>
      <c r="L499" s="2173">
        <v>494473345</v>
      </c>
      <c r="M499" s="2173">
        <v>599076384</v>
      </c>
      <c r="N499" s="2173">
        <v>490684586</v>
      </c>
      <c r="O499" s="2174">
        <v>503181820</v>
      </c>
      <c r="P499" s="2173">
        <v>131872984</v>
      </c>
      <c r="Q499" s="2173">
        <v>657178007</v>
      </c>
      <c r="R499" s="2803" t="s">
        <v>2430</v>
      </c>
      <c r="S499" s="2804" t="s">
        <v>66</v>
      </c>
      <c r="T499" s="2804" t="s">
        <v>2435</v>
      </c>
      <c r="U499" s="2799">
        <v>1</v>
      </c>
      <c r="V499" s="2800">
        <v>42949</v>
      </c>
      <c r="W499" s="2801" t="s">
        <v>848</v>
      </c>
      <c r="X499" s="4401" t="s">
        <v>2429</v>
      </c>
      <c r="Y499" s="2802">
        <f t="shared" ca="1" si="21"/>
        <v>0.38333333333333336</v>
      </c>
    </row>
    <row r="500" spans="1:26" ht="14.1" customHeight="1" x14ac:dyDescent="0.2">
      <c r="A500" s="79">
        <v>488</v>
      </c>
      <c r="B500" s="1067" t="s">
        <v>1685</v>
      </c>
      <c r="C500" s="3952" t="s">
        <v>1093</v>
      </c>
      <c r="D500" s="1666" t="s">
        <v>40</v>
      </c>
      <c r="E500" s="2011" t="s">
        <v>2130</v>
      </c>
      <c r="F500" s="3782">
        <f t="shared" si="22"/>
        <v>237.7126210956059</v>
      </c>
      <c r="G500" s="2681">
        <f>5.1+17.2+14.9+13.5+19.6+16.3+11.1+2.4+13.2</f>
        <v>113.3</v>
      </c>
      <c r="H500" s="2681"/>
      <c r="I500" s="1299">
        <v>206525650</v>
      </c>
      <c r="J500" s="2348">
        <v>615096595</v>
      </c>
      <c r="K500" s="2348">
        <v>594557580</v>
      </c>
      <c r="L500" s="2348">
        <v>666400747</v>
      </c>
      <c r="M500" s="2348">
        <v>593363441</v>
      </c>
      <c r="N500" s="2348">
        <v>492018662</v>
      </c>
      <c r="O500" s="2348">
        <v>632294951</v>
      </c>
      <c r="P500" s="2348">
        <v>90349800</v>
      </c>
      <c r="Q500" s="2348">
        <v>709428979</v>
      </c>
      <c r="R500" s="2758" t="s">
        <v>1087</v>
      </c>
      <c r="S500" s="4112" t="s">
        <v>62</v>
      </c>
      <c r="T500" s="2681" t="s">
        <v>2435</v>
      </c>
      <c r="U500" s="2765">
        <v>1</v>
      </c>
      <c r="V500" s="2768">
        <v>41194</v>
      </c>
      <c r="W500" s="2771" t="s">
        <v>417</v>
      </c>
      <c r="X500" s="4402" t="s">
        <v>125</v>
      </c>
      <c r="Y500" s="2355">
        <f t="shared" ref="Y500:Y521" ca="1" si="23">YEARFRAC(V500,Y$6)</f>
        <v>5.1888888888888891</v>
      </c>
      <c r="Z500" s="79">
        <v>488</v>
      </c>
    </row>
    <row r="501" spans="1:26" ht="14.1" customHeight="1" x14ac:dyDescent="0.2">
      <c r="B501" s="2809" t="s">
        <v>1685</v>
      </c>
      <c r="C501" s="2155" t="s">
        <v>2485</v>
      </c>
      <c r="D501" s="2807" t="s">
        <v>40</v>
      </c>
      <c r="E501" s="2808" t="s">
        <v>2130</v>
      </c>
      <c r="F501" s="3782">
        <f t="shared" si="22"/>
        <v>241.28681916473442</v>
      </c>
      <c r="G501" s="2367">
        <f>0.8+1.2+6.88+6.99+6.98+5.8+7.2+1.47+8.22</f>
        <v>45.54</v>
      </c>
      <c r="H501" s="2369"/>
      <c r="I501" s="836">
        <v>242493242</v>
      </c>
      <c r="J501" s="2173">
        <v>620461268</v>
      </c>
      <c r="K501" s="2173">
        <v>578502678</v>
      </c>
      <c r="L501" s="2173">
        <v>501442280</v>
      </c>
      <c r="M501" s="2173">
        <v>619659350</v>
      </c>
      <c r="N501" s="2173">
        <v>505060632</v>
      </c>
      <c r="O501" s="2174">
        <v>563153382</v>
      </c>
      <c r="P501" s="2173">
        <v>130322202</v>
      </c>
      <c r="Q501" s="2173">
        <v>611770596</v>
      </c>
      <c r="R501" s="2290" t="s">
        <v>2441</v>
      </c>
      <c r="S501" s="2914" t="s">
        <v>62</v>
      </c>
      <c r="T501" s="2367" t="s">
        <v>2435</v>
      </c>
      <c r="U501" s="2294">
        <v>1</v>
      </c>
      <c r="V501" s="2296">
        <v>42088</v>
      </c>
      <c r="W501" s="2298" t="s">
        <v>76</v>
      </c>
      <c r="X501" s="4396" t="s">
        <v>125</v>
      </c>
      <c r="Y501" s="2180">
        <f t="shared" ca="1" si="23"/>
        <v>2.7361111111111112</v>
      </c>
    </row>
    <row r="502" spans="1:26" ht="14.1" customHeight="1" x14ac:dyDescent="0.25">
      <c r="A502" s="79">
        <v>490</v>
      </c>
      <c r="B502" s="1067" t="s">
        <v>1685</v>
      </c>
      <c r="C502" s="3953" t="s">
        <v>682</v>
      </c>
      <c r="D502" s="2253"/>
      <c r="E502" s="2011"/>
      <c r="F502" s="3782">
        <f t="shared" si="22"/>
        <v>243.39111855815676</v>
      </c>
      <c r="G502" s="2810"/>
      <c r="H502" s="2810"/>
      <c r="I502" s="1299">
        <v>241449752</v>
      </c>
      <c r="J502" s="2276">
        <v>573751764</v>
      </c>
      <c r="K502" s="2276">
        <v>541801280</v>
      </c>
      <c r="L502" s="2276">
        <v>496340983</v>
      </c>
      <c r="M502" s="2276">
        <v>600843363</v>
      </c>
      <c r="N502" s="2276">
        <v>491155368</v>
      </c>
      <c r="O502" s="2276">
        <v>522098407</v>
      </c>
      <c r="P502" s="2276">
        <v>137751228</v>
      </c>
      <c r="Q502" s="2276">
        <v>672486751</v>
      </c>
      <c r="R502" s="2528" t="s">
        <v>460</v>
      </c>
      <c r="S502" s="3375" t="s">
        <v>131</v>
      </c>
      <c r="T502" s="2680" t="s">
        <v>2435</v>
      </c>
      <c r="U502" s="2533">
        <v>1</v>
      </c>
      <c r="V502" s="2536">
        <v>34452</v>
      </c>
      <c r="W502" s="2540" t="s">
        <v>121</v>
      </c>
      <c r="X502" s="4403" t="s">
        <v>681</v>
      </c>
      <c r="Y502" s="1838">
        <f t="shared" ca="1" si="23"/>
        <v>23.644444444444446</v>
      </c>
      <c r="Z502" s="79">
        <v>490</v>
      </c>
    </row>
    <row r="503" spans="1:26" ht="14.1" customHeight="1" x14ac:dyDescent="0.2">
      <c r="B503" s="3383" t="s">
        <v>1685</v>
      </c>
      <c r="C503" s="3980" t="s">
        <v>1302</v>
      </c>
      <c r="D503" s="2359" t="s">
        <v>40</v>
      </c>
      <c r="E503" s="2012" t="s">
        <v>2130</v>
      </c>
      <c r="F503" s="3782">
        <f t="shared" si="22"/>
        <v>247.73251176161372</v>
      </c>
      <c r="G503" s="2525"/>
      <c r="H503" s="2525"/>
      <c r="I503" s="840">
        <v>214828663</v>
      </c>
      <c r="J503" s="2174">
        <v>663276049</v>
      </c>
      <c r="K503" s="2174">
        <v>623281118</v>
      </c>
      <c r="L503" s="2174">
        <v>625482827</v>
      </c>
      <c r="M503" s="2174">
        <v>666903149</v>
      </c>
      <c r="N503" s="2174">
        <v>546884027</v>
      </c>
      <c r="O503" s="2247">
        <v>607948948</v>
      </c>
      <c r="P503" s="2174">
        <v>114850295</v>
      </c>
      <c r="Q503" s="2174">
        <v>673675014</v>
      </c>
      <c r="R503" s="2530" t="s">
        <v>431</v>
      </c>
      <c r="S503" s="2532" t="s">
        <v>131</v>
      </c>
      <c r="T503" s="2532" t="s">
        <v>2435</v>
      </c>
      <c r="U503" s="2535">
        <v>1</v>
      </c>
      <c r="V503" s="2539">
        <v>33347</v>
      </c>
      <c r="W503" s="2542" t="s">
        <v>69</v>
      </c>
      <c r="X503" s="4404" t="s">
        <v>106</v>
      </c>
      <c r="Y503" s="2180">
        <f t="shared" ca="1" si="23"/>
        <v>26.669444444444444</v>
      </c>
    </row>
    <row r="504" spans="1:26" ht="14.1" customHeight="1" x14ac:dyDescent="0.2">
      <c r="A504" s="79">
        <v>492</v>
      </c>
      <c r="B504" s="1067" t="s">
        <v>1685</v>
      </c>
      <c r="C504" s="1239" t="s">
        <v>613</v>
      </c>
      <c r="D504" s="1666" t="s">
        <v>40</v>
      </c>
      <c r="E504" s="2011" t="s">
        <v>2130</v>
      </c>
      <c r="F504" s="3782">
        <f t="shared" si="22"/>
        <v>248.68453509325821</v>
      </c>
      <c r="G504" s="4006">
        <f>35.9+22.2+21.3+62.8+35.8+16.6+11.1+29.43+18.16</f>
        <v>253.29</v>
      </c>
      <c r="H504" s="2887"/>
      <c r="I504" s="1068">
        <v>317034522</v>
      </c>
      <c r="J504" s="2889">
        <v>606693570</v>
      </c>
      <c r="K504" s="2889">
        <v>572360190</v>
      </c>
      <c r="L504" s="2889">
        <v>518154062</v>
      </c>
      <c r="M504" s="2889">
        <v>609161922</v>
      </c>
      <c r="N504" s="2889">
        <v>492148895</v>
      </c>
      <c r="O504" s="2276">
        <v>601275565</v>
      </c>
      <c r="P504" s="2889">
        <v>143621256</v>
      </c>
      <c r="Q504" s="2889">
        <v>474403693</v>
      </c>
      <c r="R504" s="2893" t="s">
        <v>614</v>
      </c>
      <c r="S504" s="2898" t="s">
        <v>66</v>
      </c>
      <c r="T504" s="2351" t="s">
        <v>2435</v>
      </c>
      <c r="U504" s="2903">
        <v>1</v>
      </c>
      <c r="V504" s="2908">
        <v>39998</v>
      </c>
      <c r="W504" s="2912" t="s">
        <v>71</v>
      </c>
      <c r="X504" s="4399" t="s">
        <v>148</v>
      </c>
      <c r="Y504" s="1838">
        <f t="shared" ca="1" si="23"/>
        <v>8.4611111111111104</v>
      </c>
      <c r="Z504" s="79">
        <v>492</v>
      </c>
    </row>
    <row r="505" spans="1:26" ht="14.1" customHeight="1" x14ac:dyDescent="0.2">
      <c r="B505" s="3941" t="s">
        <v>1685</v>
      </c>
      <c r="C505" s="3981" t="s">
        <v>1073</v>
      </c>
      <c r="D505" s="2359"/>
      <c r="E505" s="2012"/>
      <c r="F505" s="3782">
        <f t="shared" si="22"/>
        <v>256.04973128094741</v>
      </c>
      <c r="G505" s="2367">
        <f>4+6+6+18+1+1+23+4+32</f>
        <v>95</v>
      </c>
      <c r="H505" s="2367"/>
      <c r="I505" s="840">
        <v>235315200</v>
      </c>
      <c r="J505" s="2174">
        <v>601718784</v>
      </c>
      <c r="K505" s="2174">
        <v>575811584</v>
      </c>
      <c r="L505" s="2174">
        <v>586432512</v>
      </c>
      <c r="M505" s="2174">
        <v>608722944</v>
      </c>
      <c r="N505" s="2174">
        <v>491913216</v>
      </c>
      <c r="O505" s="2174">
        <v>595677184</v>
      </c>
      <c r="P505" s="2174">
        <v>154152960</v>
      </c>
      <c r="Q505" s="2174">
        <v>657330176</v>
      </c>
      <c r="R505" s="2292" t="s">
        <v>1074</v>
      </c>
      <c r="S505" s="2367" t="s">
        <v>62</v>
      </c>
      <c r="T505" s="2367" t="s">
        <v>2435</v>
      </c>
      <c r="U505" s="2294">
        <v>1</v>
      </c>
      <c r="V505" s="2296">
        <v>34881</v>
      </c>
      <c r="W505" s="2298" t="s">
        <v>76</v>
      </c>
      <c r="X505" s="4396" t="s">
        <v>404</v>
      </c>
      <c r="Y505" s="2180">
        <f t="shared" ca="1" si="23"/>
        <v>22.469444444444445</v>
      </c>
    </row>
    <row r="506" spans="1:26" ht="14.1" customHeight="1" x14ac:dyDescent="0.2">
      <c r="A506" s="79">
        <v>494</v>
      </c>
      <c r="B506" s="1067" t="s">
        <v>1685</v>
      </c>
      <c r="C506" s="2034" t="s">
        <v>434</v>
      </c>
      <c r="D506" s="1666" t="s">
        <v>40</v>
      </c>
      <c r="E506" s="2011" t="s">
        <v>2130</v>
      </c>
      <c r="F506" s="3782">
        <f t="shared" si="22"/>
        <v>265.77286066677652</v>
      </c>
      <c r="G506" s="3401"/>
      <c r="H506" s="3401"/>
      <c r="I506" s="1068">
        <v>256117773</v>
      </c>
      <c r="J506" s="2357">
        <v>648629919</v>
      </c>
      <c r="K506" s="2357">
        <v>626216114</v>
      </c>
      <c r="L506" s="2348">
        <v>589582653</v>
      </c>
      <c r="M506" s="2348">
        <v>717762267</v>
      </c>
      <c r="N506" s="2348">
        <v>590100445</v>
      </c>
      <c r="O506" s="2348">
        <v>485682401</v>
      </c>
      <c r="P506" s="2348">
        <v>146366292</v>
      </c>
      <c r="Q506" s="2348">
        <v>733470937</v>
      </c>
      <c r="R506" s="3414" t="s">
        <v>426</v>
      </c>
      <c r="S506" s="2607" t="s">
        <v>131</v>
      </c>
      <c r="T506" s="2607" t="s">
        <v>2435</v>
      </c>
      <c r="U506" s="3432">
        <v>1</v>
      </c>
      <c r="V506" s="3438">
        <v>32371</v>
      </c>
      <c r="W506" s="3446" t="s">
        <v>76</v>
      </c>
      <c r="X506" s="4405" t="s">
        <v>427</v>
      </c>
      <c r="Y506" s="2355">
        <f t="shared" ca="1" si="23"/>
        <v>29.344444444444445</v>
      </c>
      <c r="Z506" s="79">
        <v>494</v>
      </c>
    </row>
    <row r="507" spans="1:26" ht="14.1" customHeight="1" x14ac:dyDescent="0.2">
      <c r="B507" s="3382" t="s">
        <v>1685</v>
      </c>
      <c r="C507" s="3386" t="s">
        <v>1415</v>
      </c>
      <c r="D507" s="1524" t="s">
        <v>40</v>
      </c>
      <c r="E507" s="2012" t="s">
        <v>2130</v>
      </c>
      <c r="F507" s="3782">
        <f t="shared" si="22"/>
        <v>266.61993052563622</v>
      </c>
      <c r="G507" s="2884">
        <f>3.6+11+10.4+8.75+5.8+4.6+6.9+1.9+13.6</f>
        <v>66.55</v>
      </c>
      <c r="H507" s="2886"/>
      <c r="I507" s="840">
        <v>246014863</v>
      </c>
      <c r="J507" s="2174">
        <v>606693380</v>
      </c>
      <c r="K507" s="2174">
        <v>572975512</v>
      </c>
      <c r="L507" s="2174">
        <v>668385041</v>
      </c>
      <c r="M507" s="2174">
        <v>589664714</v>
      </c>
      <c r="N507" s="2174">
        <v>492148740</v>
      </c>
      <c r="O507" s="2174">
        <v>602023590</v>
      </c>
      <c r="P507" s="2174">
        <v>122244724</v>
      </c>
      <c r="Q507" s="2174">
        <v>874838690</v>
      </c>
      <c r="R507" s="2892" t="s">
        <v>513</v>
      </c>
      <c r="S507" s="2897" t="s">
        <v>66</v>
      </c>
      <c r="T507" s="2897" t="s">
        <v>2435</v>
      </c>
      <c r="U507" s="2902">
        <v>1</v>
      </c>
      <c r="V507" s="2907">
        <v>39641</v>
      </c>
      <c r="W507" s="2911" t="s">
        <v>71</v>
      </c>
      <c r="X507" s="4406" t="s">
        <v>125</v>
      </c>
      <c r="Y507" s="2180">
        <f t="shared" ca="1" si="23"/>
        <v>9.4388888888888882</v>
      </c>
    </row>
    <row r="508" spans="1:26" ht="14.1" customHeight="1" x14ac:dyDescent="0.2">
      <c r="A508" s="79">
        <v>496</v>
      </c>
      <c r="B508" s="1066" t="s">
        <v>1685</v>
      </c>
      <c r="C508" s="2878" t="s">
        <v>1303</v>
      </c>
      <c r="D508" s="1666" t="s">
        <v>40</v>
      </c>
      <c r="E508" s="2011" t="s">
        <v>2130</v>
      </c>
      <c r="F508" s="3782">
        <f t="shared" si="22"/>
        <v>267.39314007474775</v>
      </c>
      <c r="G508" s="2347"/>
      <c r="H508" s="2347"/>
      <c r="I508" s="1068">
        <v>275635849</v>
      </c>
      <c r="J508" s="2357">
        <v>582521265</v>
      </c>
      <c r="K508" s="2357">
        <v>568609373</v>
      </c>
      <c r="L508" s="2357">
        <v>556808953</v>
      </c>
      <c r="M508" s="2357">
        <v>604188849</v>
      </c>
      <c r="N508" s="2357">
        <v>492348145</v>
      </c>
      <c r="O508" s="2348">
        <v>562139557</v>
      </c>
      <c r="P508" s="2357">
        <v>150729517</v>
      </c>
      <c r="Q508" s="2357">
        <v>779928541</v>
      </c>
      <c r="R508" s="2350" t="s">
        <v>430</v>
      </c>
      <c r="S508" s="2351" t="s">
        <v>66</v>
      </c>
      <c r="T508" s="2351" t="s">
        <v>2435</v>
      </c>
      <c r="U508" s="2352">
        <v>1</v>
      </c>
      <c r="V508" s="2906">
        <v>37796</v>
      </c>
      <c r="W508" s="2354" t="s">
        <v>73</v>
      </c>
      <c r="X508" s="4400" t="s">
        <v>1399</v>
      </c>
      <c r="Y508" s="2355">
        <f t="shared" ca="1" si="23"/>
        <v>14.488888888888889</v>
      </c>
      <c r="Z508" s="79">
        <v>496</v>
      </c>
    </row>
    <row r="509" spans="1:26" ht="14.1" customHeight="1" x14ac:dyDescent="0.2">
      <c r="B509" s="1060" t="s">
        <v>1685</v>
      </c>
      <c r="C509" s="1298" t="s">
        <v>725</v>
      </c>
      <c r="D509" s="1524" t="s">
        <v>40</v>
      </c>
      <c r="E509" s="2012" t="s">
        <v>2130</v>
      </c>
      <c r="F509" s="3782">
        <f t="shared" si="22"/>
        <v>273.82837223645777</v>
      </c>
      <c r="G509" s="2172"/>
      <c r="H509" s="2172"/>
      <c r="I509" s="836">
        <v>287218511</v>
      </c>
      <c r="J509" s="2173">
        <v>583505462</v>
      </c>
      <c r="K509" s="2173">
        <v>571535628</v>
      </c>
      <c r="L509" s="2173">
        <v>558792198</v>
      </c>
      <c r="M509" s="2173">
        <v>608442034</v>
      </c>
      <c r="N509" s="2173">
        <v>492019651</v>
      </c>
      <c r="O509" s="2174">
        <v>583143432</v>
      </c>
      <c r="P509" s="2173">
        <v>160260179</v>
      </c>
      <c r="Q509" s="2175">
        <v>778930993</v>
      </c>
      <c r="R509" s="2176" t="s">
        <v>726</v>
      </c>
      <c r="S509" s="2248" t="s">
        <v>131</v>
      </c>
      <c r="T509" s="2248" t="s">
        <v>2435</v>
      </c>
      <c r="U509" s="2177">
        <v>1</v>
      </c>
      <c r="V509" s="2178">
        <v>34490</v>
      </c>
      <c r="W509" s="2179" t="s">
        <v>71</v>
      </c>
      <c r="X509" s="4394" t="s">
        <v>727</v>
      </c>
      <c r="Y509" s="2180">
        <f t="shared" ca="1" si="23"/>
        <v>23.541666666666668</v>
      </c>
    </row>
    <row r="510" spans="1:26" ht="14.1" customHeight="1" x14ac:dyDescent="0.25">
      <c r="A510" s="79">
        <v>498</v>
      </c>
      <c r="B510" s="1067" t="s">
        <v>1685</v>
      </c>
      <c r="C510" s="2877" t="s">
        <v>619</v>
      </c>
      <c r="D510" s="2880"/>
      <c r="E510" s="2011" t="s">
        <v>2130</v>
      </c>
      <c r="F510" s="3782">
        <f t="shared" si="22"/>
        <v>280.03636477254827</v>
      </c>
      <c r="G510" s="2883">
        <f>731+1021+988+1032+779+381+173+79+86</f>
        <v>5270</v>
      </c>
      <c r="H510" s="2885"/>
      <c r="I510" s="1299">
        <v>306091450</v>
      </c>
      <c r="J510" s="2357">
        <v>623848132</v>
      </c>
      <c r="K510" s="2357">
        <v>575728866</v>
      </c>
      <c r="L510" s="2357">
        <v>708587093</v>
      </c>
      <c r="M510" s="2357">
        <v>606814720</v>
      </c>
      <c r="N510" s="2357">
        <v>494959737</v>
      </c>
      <c r="O510" s="2348">
        <v>589767994</v>
      </c>
      <c r="P510" s="2348">
        <v>135002272</v>
      </c>
      <c r="Q510" s="2357">
        <v>806904414</v>
      </c>
      <c r="R510" s="2758" t="s">
        <v>534</v>
      </c>
      <c r="S510" s="2680" t="s">
        <v>66</v>
      </c>
      <c r="T510" s="2680" t="s">
        <v>2435</v>
      </c>
      <c r="U510" s="2765">
        <v>1</v>
      </c>
      <c r="V510" s="2768">
        <v>40343</v>
      </c>
      <c r="W510" s="2771" t="s">
        <v>156</v>
      </c>
      <c r="X510" s="4402" t="s">
        <v>533</v>
      </c>
      <c r="Y510" s="2355">
        <f t="shared" ca="1" si="23"/>
        <v>7.5166666666666666</v>
      </c>
      <c r="Z510" s="79">
        <v>498</v>
      </c>
    </row>
    <row r="511" spans="1:26" ht="14.1" customHeight="1" x14ac:dyDescent="0.2">
      <c r="B511" s="1060" t="s">
        <v>1685</v>
      </c>
      <c r="C511" s="1237" t="s">
        <v>693</v>
      </c>
      <c r="D511" s="1524"/>
      <c r="E511" s="2012" t="s">
        <v>2130</v>
      </c>
      <c r="F511" s="3782">
        <f t="shared" si="22"/>
        <v>281.29428550082918</v>
      </c>
      <c r="G511" s="2367"/>
      <c r="H511" s="2369"/>
      <c r="I511" s="840">
        <v>292592712</v>
      </c>
      <c r="J511" s="2173">
        <v>597566038</v>
      </c>
      <c r="K511" s="2173">
        <v>576963261</v>
      </c>
      <c r="L511" s="2173">
        <v>570980282</v>
      </c>
      <c r="M511" s="2173">
        <v>608569854</v>
      </c>
      <c r="N511" s="2173">
        <v>492149020</v>
      </c>
      <c r="O511" s="2174">
        <v>595498659</v>
      </c>
      <c r="P511" s="2174">
        <v>167891040</v>
      </c>
      <c r="Q511" s="2173">
        <v>806674258</v>
      </c>
      <c r="R511" s="2290" t="s">
        <v>694</v>
      </c>
      <c r="S511" s="2292" t="s">
        <v>131</v>
      </c>
      <c r="T511" s="2292" t="s">
        <v>2435</v>
      </c>
      <c r="U511" s="2294">
        <v>1</v>
      </c>
      <c r="V511" s="2296">
        <v>37130</v>
      </c>
      <c r="W511" s="2298" t="s">
        <v>253</v>
      </c>
      <c r="X511" s="4407" t="s">
        <v>441</v>
      </c>
      <c r="Y511" s="2180">
        <f t="shared" ca="1" si="23"/>
        <v>16.31388888888889</v>
      </c>
    </row>
    <row r="512" spans="1:26" ht="14.1" customHeight="1" x14ac:dyDescent="0.2">
      <c r="A512" s="79">
        <v>500</v>
      </c>
      <c r="B512" s="1509" t="s">
        <v>1103</v>
      </c>
      <c r="C512" s="1510" t="s">
        <v>671</v>
      </c>
      <c r="D512" s="1666" t="s">
        <v>40</v>
      </c>
      <c r="E512" s="2011" t="s">
        <v>2130</v>
      </c>
      <c r="F512" s="3782">
        <f t="shared" si="22"/>
        <v>300.96835214960737</v>
      </c>
      <c r="G512" s="2356"/>
      <c r="H512" s="2347"/>
      <c r="I512" s="1068">
        <v>305785086</v>
      </c>
      <c r="J512" s="2357">
        <v>604797095</v>
      </c>
      <c r="K512" s="2357">
        <v>567214866</v>
      </c>
      <c r="L512" s="2357">
        <v>708300890</v>
      </c>
      <c r="M512" s="2357">
        <v>603157765</v>
      </c>
      <c r="N512" s="2357">
        <v>492148908</v>
      </c>
      <c r="O512" s="2349">
        <v>568399840</v>
      </c>
      <c r="P512" s="2357">
        <v>188305863</v>
      </c>
      <c r="Q512" s="2357">
        <v>878317802</v>
      </c>
      <c r="R512" s="2350" t="s">
        <v>397</v>
      </c>
      <c r="S512" s="2351" t="s">
        <v>66</v>
      </c>
      <c r="T512" s="2351" t="s">
        <v>2435</v>
      </c>
      <c r="U512" s="2352">
        <v>1</v>
      </c>
      <c r="V512" s="2353">
        <v>31740</v>
      </c>
      <c r="W512" s="2354" t="s">
        <v>76</v>
      </c>
      <c r="X512" s="4400" t="s">
        <v>1399</v>
      </c>
      <c r="Y512" s="2355">
        <f t="shared" ca="1" si="23"/>
        <v>31.072222222222223</v>
      </c>
      <c r="Z512" s="79">
        <v>500</v>
      </c>
    </row>
    <row r="513" spans="1:26" ht="14.1" customHeight="1" x14ac:dyDescent="0.2">
      <c r="B513" s="1060" t="s">
        <v>1685</v>
      </c>
      <c r="C513" s="2876" t="s">
        <v>1107</v>
      </c>
      <c r="D513" s="1524" t="s">
        <v>40</v>
      </c>
      <c r="E513" s="2012" t="s">
        <v>2130</v>
      </c>
      <c r="F513" s="3782">
        <f t="shared" si="22"/>
        <v>303.52468411743678</v>
      </c>
      <c r="G513" s="2369"/>
      <c r="H513" s="2369"/>
      <c r="I513" s="2888">
        <v>266580164</v>
      </c>
      <c r="J513" s="2173">
        <v>1023481474</v>
      </c>
      <c r="K513" s="2174">
        <v>890561709</v>
      </c>
      <c r="L513" s="2174">
        <v>723851863</v>
      </c>
      <c r="M513" s="2174">
        <v>1102560485</v>
      </c>
      <c r="N513" s="2247">
        <v>902536014</v>
      </c>
      <c r="O513" s="2247">
        <v>650348104</v>
      </c>
      <c r="P513" s="2247">
        <v>133781250</v>
      </c>
      <c r="Q513" s="2247">
        <v>638371905</v>
      </c>
      <c r="R513" s="2290" t="s">
        <v>1106</v>
      </c>
      <c r="S513" s="2292" t="s">
        <v>131</v>
      </c>
      <c r="T513" s="2292" t="s">
        <v>2435</v>
      </c>
      <c r="U513" s="2294">
        <v>1</v>
      </c>
      <c r="V513" s="2296">
        <v>38119</v>
      </c>
      <c r="W513" s="2298" t="s">
        <v>208</v>
      </c>
      <c r="X513" s="4396" t="s">
        <v>1105</v>
      </c>
      <c r="Y513" s="2180">
        <f t="shared" ca="1" si="23"/>
        <v>13.605555555555556</v>
      </c>
    </row>
    <row r="514" spans="1:26" ht="14.1" customHeight="1" x14ac:dyDescent="0.25">
      <c r="A514" s="79">
        <v>502</v>
      </c>
      <c r="B514" s="2873" t="s">
        <v>1685</v>
      </c>
      <c r="C514" s="2875" t="s">
        <v>438</v>
      </c>
      <c r="D514" s="2879"/>
      <c r="E514" s="2881" t="s">
        <v>2130</v>
      </c>
      <c r="F514" s="3906">
        <f t="shared" si="22"/>
        <v>306.30780631251145</v>
      </c>
      <c r="G514" s="2882"/>
      <c r="H514" s="2882"/>
      <c r="I514" s="1068">
        <v>305784934</v>
      </c>
      <c r="J514" s="2357">
        <v>605247633</v>
      </c>
      <c r="K514" s="2357">
        <v>577099663</v>
      </c>
      <c r="L514" s="2357">
        <v>708300737</v>
      </c>
      <c r="M514" s="2357">
        <v>604792372</v>
      </c>
      <c r="N514" s="2357">
        <v>493170688</v>
      </c>
      <c r="O514" s="2349">
        <v>605362959</v>
      </c>
      <c r="P514" s="2357">
        <v>188305715</v>
      </c>
      <c r="Q514" s="2357">
        <v>922319710</v>
      </c>
      <c r="R514" s="2890" t="s">
        <v>1201</v>
      </c>
      <c r="S514" s="2894" t="s">
        <v>131</v>
      </c>
      <c r="T514" s="2894" t="s">
        <v>2435</v>
      </c>
      <c r="U514" s="2900">
        <v>1</v>
      </c>
      <c r="V514" s="2904">
        <v>31473</v>
      </c>
      <c r="W514" s="2909" t="s">
        <v>417</v>
      </c>
      <c r="X514" s="4408" t="s">
        <v>437</v>
      </c>
      <c r="Y514" s="2913">
        <f t="shared" ca="1" si="23"/>
        <v>31.8</v>
      </c>
      <c r="Z514" s="79">
        <v>502</v>
      </c>
    </row>
    <row r="515" spans="1:26" ht="14.1" customHeight="1" x14ac:dyDescent="0.2">
      <c r="B515" s="1061" t="s">
        <v>1685</v>
      </c>
      <c r="C515" s="1298" t="s">
        <v>738</v>
      </c>
      <c r="D515" s="1524"/>
      <c r="E515" s="2012" t="s">
        <v>2130</v>
      </c>
      <c r="F515" s="3782">
        <f t="shared" si="22"/>
        <v>308.19708586107328</v>
      </c>
      <c r="G515" s="2172"/>
      <c r="H515" s="2172"/>
      <c r="I515" s="836">
        <v>302140962</v>
      </c>
      <c r="J515" s="2173">
        <v>606681892</v>
      </c>
      <c r="K515" s="2173">
        <v>577835051</v>
      </c>
      <c r="L515" s="2173">
        <v>685043925</v>
      </c>
      <c r="M515" s="2173">
        <v>609161728</v>
      </c>
      <c r="N515" s="2173">
        <v>492148736</v>
      </c>
      <c r="O515" s="2174">
        <v>633510400</v>
      </c>
      <c r="P515" s="2173">
        <v>197278527</v>
      </c>
      <c r="Q515" s="2175">
        <v>907860725</v>
      </c>
      <c r="R515" s="2176" t="s">
        <v>722</v>
      </c>
      <c r="S515" s="2248" t="s">
        <v>131</v>
      </c>
      <c r="T515" s="2248" t="s">
        <v>2435</v>
      </c>
      <c r="U515" s="2177">
        <v>1</v>
      </c>
      <c r="V515" s="2178">
        <v>33289</v>
      </c>
      <c r="W515" s="2179" t="s">
        <v>741</v>
      </c>
      <c r="X515" s="4409" t="s">
        <v>106</v>
      </c>
      <c r="Y515" s="2180">
        <f t="shared" ca="1" si="23"/>
        <v>26.833333333333332</v>
      </c>
    </row>
    <row r="516" spans="1:26" ht="14.1" customHeight="1" x14ac:dyDescent="0.2">
      <c r="A516" s="79">
        <v>504</v>
      </c>
      <c r="B516" s="1066" t="s">
        <v>1685</v>
      </c>
      <c r="C516" s="1238" t="s">
        <v>734</v>
      </c>
      <c r="D516" s="1666"/>
      <c r="E516" s="2011" t="s">
        <v>2130</v>
      </c>
      <c r="F516" s="3782">
        <f t="shared" si="22"/>
        <v>312.09621899573807</v>
      </c>
      <c r="G516" s="2347"/>
      <c r="H516" s="2347"/>
      <c r="I516" s="1068">
        <v>305958700</v>
      </c>
      <c r="J516" s="2357">
        <v>605585568</v>
      </c>
      <c r="K516" s="2357">
        <v>577360168</v>
      </c>
      <c r="L516" s="2357">
        <v>708744836</v>
      </c>
      <c r="M516" s="2357">
        <v>604942600</v>
      </c>
      <c r="N516" s="2357">
        <v>493335696</v>
      </c>
      <c r="O516" s="2348">
        <v>605575172</v>
      </c>
      <c r="P516" s="2357">
        <v>188662140</v>
      </c>
      <c r="Q516" s="2358">
        <v>993349340</v>
      </c>
      <c r="R516" s="2350" t="s">
        <v>735</v>
      </c>
      <c r="S516" s="2351" t="s">
        <v>131</v>
      </c>
      <c r="T516" s="2351" t="s">
        <v>2435</v>
      </c>
      <c r="U516" s="2352">
        <v>1</v>
      </c>
      <c r="V516" s="2353">
        <v>36116</v>
      </c>
      <c r="W516" s="2354" t="s">
        <v>297</v>
      </c>
      <c r="X516" s="4410" t="s">
        <v>106</v>
      </c>
      <c r="Y516" s="2355">
        <f t="shared" ca="1" si="23"/>
        <v>19.091666666666665</v>
      </c>
      <c r="Z516" s="79">
        <v>504</v>
      </c>
    </row>
    <row r="517" spans="1:26" ht="14.1" customHeight="1" x14ac:dyDescent="0.2">
      <c r="B517" s="1061" t="s">
        <v>1685</v>
      </c>
      <c r="C517" s="1514" t="s">
        <v>754</v>
      </c>
      <c r="D517" s="1524" t="s">
        <v>40</v>
      </c>
      <c r="E517" s="2012" t="s">
        <v>2130</v>
      </c>
      <c r="F517" s="3782">
        <f t="shared" si="22"/>
        <v>316.90791386107719</v>
      </c>
      <c r="G517" s="2272">
        <f>31+79+76+70+60+48+61+19+101</f>
        <v>545</v>
      </c>
      <c r="H517" s="2172"/>
      <c r="I517" s="836">
        <v>314657555</v>
      </c>
      <c r="J517" s="2173">
        <v>604234832</v>
      </c>
      <c r="K517" s="2173">
        <v>573743349</v>
      </c>
      <c r="L517" s="2173">
        <v>708722090</v>
      </c>
      <c r="M517" s="2173">
        <v>602902794</v>
      </c>
      <c r="N517" s="2173">
        <v>491293639</v>
      </c>
      <c r="O517" s="2247">
        <v>612905625</v>
      </c>
      <c r="P517" s="2173">
        <v>195851931</v>
      </c>
      <c r="Q517" s="2173">
        <v>999548758</v>
      </c>
      <c r="R517" s="2176" t="s">
        <v>439</v>
      </c>
      <c r="S517" s="2248" t="s">
        <v>66</v>
      </c>
      <c r="T517" s="2248" t="s">
        <v>2435</v>
      </c>
      <c r="U517" s="2177">
        <v>1</v>
      </c>
      <c r="V517" s="2178">
        <v>38978</v>
      </c>
      <c r="W517" s="2179" t="s">
        <v>440</v>
      </c>
      <c r="X517" s="4394" t="s">
        <v>441</v>
      </c>
      <c r="Y517" s="2180">
        <f t="shared" ca="1" si="23"/>
        <v>11.255555555555556</v>
      </c>
    </row>
    <row r="518" spans="1:26" ht="14.1" customHeight="1" x14ac:dyDescent="0.25">
      <c r="A518" s="79">
        <v>506</v>
      </c>
      <c r="B518" s="1066" t="s">
        <v>1685</v>
      </c>
      <c r="C518" s="1238" t="s">
        <v>432</v>
      </c>
      <c r="D518" s="1961"/>
      <c r="E518" s="2013" t="s">
        <v>2130</v>
      </c>
      <c r="F518" s="3782">
        <f t="shared" si="22"/>
        <v>318.0128034602767</v>
      </c>
      <c r="G518" s="2347"/>
      <c r="H518" s="2347"/>
      <c r="I518" s="1299">
        <v>558793009</v>
      </c>
      <c r="J518" s="2348">
        <v>583506273</v>
      </c>
      <c r="K518" s="2348">
        <v>571536438</v>
      </c>
      <c r="L518" s="2348">
        <v>558793009</v>
      </c>
      <c r="M518" s="2348">
        <v>608442090</v>
      </c>
      <c r="N518" s="2348">
        <v>492020461</v>
      </c>
      <c r="O518" s="2349">
        <v>583144232</v>
      </c>
      <c r="P518" s="2348">
        <v>160279490</v>
      </c>
      <c r="Q518" s="2348">
        <v>778930767</v>
      </c>
      <c r="R518" s="2350" t="s">
        <v>433</v>
      </c>
      <c r="S518" s="2351" t="s">
        <v>131</v>
      </c>
      <c r="T518" s="2351" t="s">
        <v>2435</v>
      </c>
      <c r="U518" s="2352">
        <v>1</v>
      </c>
      <c r="V518" s="2353">
        <v>34099</v>
      </c>
      <c r="W518" s="2354" t="s">
        <v>417</v>
      </c>
      <c r="X518" s="4400" t="s">
        <v>727</v>
      </c>
      <c r="Y518" s="2355">
        <f t="shared" ca="1" si="23"/>
        <v>24.611111111111111</v>
      </c>
      <c r="Z518" s="79">
        <v>506</v>
      </c>
    </row>
    <row r="519" spans="1:26" ht="14.1" customHeight="1" x14ac:dyDescent="0.2">
      <c r="B519" s="2874" t="s">
        <v>1103</v>
      </c>
      <c r="C519" s="1236" t="s">
        <v>1795</v>
      </c>
      <c r="D519" s="1524" t="s">
        <v>40</v>
      </c>
      <c r="E519" s="2012"/>
      <c r="F519" s="3782">
        <f t="shared" si="22"/>
        <v>321.6791347659331</v>
      </c>
      <c r="G519" s="2172"/>
      <c r="H519" s="2172"/>
      <c r="I519" s="836">
        <v>327879378</v>
      </c>
      <c r="J519" s="2173">
        <v>606682636</v>
      </c>
      <c r="K519" s="2173">
        <v>577835885</v>
      </c>
      <c r="L519" s="2173">
        <v>709268653</v>
      </c>
      <c r="M519" s="2173">
        <v>609140224</v>
      </c>
      <c r="N519" s="2173">
        <v>492104985</v>
      </c>
      <c r="O519" s="2174">
        <v>633483161</v>
      </c>
      <c r="P519" s="2173">
        <v>200161858</v>
      </c>
      <c r="Q519" s="2173">
        <v>1000000336</v>
      </c>
      <c r="R519" s="2891" t="s">
        <v>80</v>
      </c>
      <c r="S519" s="2896" t="s">
        <v>62</v>
      </c>
      <c r="T519" s="2899" t="s">
        <v>2435</v>
      </c>
      <c r="U519" s="2901">
        <v>1</v>
      </c>
      <c r="V519" s="2905">
        <v>42007</v>
      </c>
      <c r="W519" s="2910" t="s">
        <v>71</v>
      </c>
      <c r="X519" s="4411" t="s">
        <v>723</v>
      </c>
      <c r="Y519" s="2180">
        <f t="shared" ca="1" si="23"/>
        <v>2.963888888888889</v>
      </c>
    </row>
    <row r="520" spans="1:26" ht="14.1" customHeight="1" x14ac:dyDescent="0.2">
      <c r="A520" s="79">
        <v>508</v>
      </c>
      <c r="B520" s="1066" t="s">
        <v>1685</v>
      </c>
      <c r="C520" s="2951" t="s">
        <v>1064</v>
      </c>
      <c r="D520" s="1666"/>
      <c r="E520" s="2011"/>
      <c r="F520" s="3782">
        <f t="shared" si="22"/>
        <v>326.47392924333457</v>
      </c>
      <c r="G520" s="2347"/>
      <c r="H520" s="2347"/>
      <c r="I520" s="1068">
        <v>336186368</v>
      </c>
      <c r="J520" s="2357">
        <v>606693376</v>
      </c>
      <c r="K520" s="2357">
        <v>577854464</v>
      </c>
      <c r="L520" s="2357">
        <v>711358464</v>
      </c>
      <c r="M520" s="2357">
        <v>609161728</v>
      </c>
      <c r="N520" s="2357">
        <v>492148736</v>
      </c>
      <c r="O520" s="2348">
        <v>633510400</v>
      </c>
      <c r="P520" s="2357">
        <v>209375744</v>
      </c>
      <c r="Q520" s="2357">
        <v>1000009216</v>
      </c>
      <c r="R520" s="2350" t="s">
        <v>722</v>
      </c>
      <c r="S520" s="2895" t="s">
        <v>62</v>
      </c>
      <c r="T520" s="2356" t="s">
        <v>2435</v>
      </c>
      <c r="U520" s="2352">
        <v>1</v>
      </c>
      <c r="V520" s="2353">
        <v>40802</v>
      </c>
      <c r="W520" s="2354" t="s">
        <v>71</v>
      </c>
      <c r="X520" s="4400" t="s">
        <v>723</v>
      </c>
      <c r="Y520" s="2355">
        <f t="shared" ca="1" si="23"/>
        <v>6.2611111111111111</v>
      </c>
      <c r="Z520" s="79">
        <v>508</v>
      </c>
    </row>
    <row r="521" spans="1:26" ht="14.1" customHeight="1" x14ac:dyDescent="0.2">
      <c r="B521" s="3381" t="s">
        <v>1685</v>
      </c>
      <c r="C521" s="1514" t="s">
        <v>1998</v>
      </c>
      <c r="D521" s="1524" t="s">
        <v>40</v>
      </c>
      <c r="E521" s="3379" t="s">
        <v>2130</v>
      </c>
      <c r="F521" s="3782">
        <f t="shared" si="22"/>
        <v>356.55136269174949</v>
      </c>
      <c r="G521" s="2272">
        <f>3821.6+65.1+2944.4+295.9+739.5+2625.9+48.5+328.6+107.9</f>
        <v>10977.4</v>
      </c>
      <c r="H521" s="2172"/>
      <c r="I521" s="836">
        <v>483269157</v>
      </c>
      <c r="J521" s="2173">
        <v>606693399</v>
      </c>
      <c r="K521" s="2173">
        <v>564331555</v>
      </c>
      <c r="L521" s="2173">
        <v>684807772</v>
      </c>
      <c r="M521" s="2173">
        <v>612094222</v>
      </c>
      <c r="N521" s="2173">
        <v>503000907</v>
      </c>
      <c r="O521" s="2174">
        <v>633510424</v>
      </c>
      <c r="P521" s="2173">
        <v>217255866</v>
      </c>
      <c r="Q521" s="2173">
        <v>1000009240</v>
      </c>
      <c r="R521" s="2176" t="s">
        <v>442</v>
      </c>
      <c r="S521" s="2272" t="s">
        <v>66</v>
      </c>
      <c r="T521" s="2272" t="s">
        <v>2435</v>
      </c>
      <c r="U521" s="2177">
        <v>1</v>
      </c>
      <c r="V521" s="2178">
        <v>42375</v>
      </c>
      <c r="W521" s="2179" t="s">
        <v>73</v>
      </c>
      <c r="X521" s="4394" t="s">
        <v>1997</v>
      </c>
      <c r="Y521" s="2180">
        <f t="shared" ca="1" si="23"/>
        <v>1.9555555555555555</v>
      </c>
    </row>
    <row r="522" spans="1:26" ht="14.1" customHeight="1" x14ac:dyDescent="0.2">
      <c r="A522" s="79">
        <v>510</v>
      </c>
      <c r="B522" s="1066" t="s">
        <v>1685</v>
      </c>
      <c r="C522" s="3374"/>
      <c r="D522" s="1666"/>
      <c r="E522" s="2011"/>
      <c r="F522" s="3782">
        <f t="shared" si="22"/>
        <v>0</v>
      </c>
      <c r="G522" s="3147"/>
      <c r="H522" s="3148"/>
      <c r="I522" s="1068"/>
      <c r="J522" s="3149"/>
      <c r="K522" s="3149"/>
      <c r="L522" s="3149"/>
      <c r="M522" s="3149"/>
      <c r="N522" s="3149"/>
      <c r="O522" s="3150"/>
      <c r="P522" s="3149"/>
      <c r="Q522" s="3149"/>
      <c r="R522" s="3151"/>
      <c r="S522" s="3147"/>
      <c r="T522" s="3147"/>
      <c r="U522" s="3152"/>
      <c r="V522" s="3153"/>
      <c r="W522" s="3154"/>
      <c r="X522" s="4412"/>
      <c r="Y522" s="2355"/>
      <c r="Z522" s="79">
        <v>510</v>
      </c>
    </row>
    <row r="523" spans="1:26" ht="14.1" customHeight="1" x14ac:dyDescent="0.2">
      <c r="B523" s="3381" t="s">
        <v>1685</v>
      </c>
      <c r="C523" s="1243"/>
      <c r="D523" s="1524"/>
      <c r="E523" s="2012"/>
      <c r="F523" s="3782">
        <f t="shared" si="22"/>
        <v>0</v>
      </c>
      <c r="G523" s="2272"/>
      <c r="H523" s="2172"/>
      <c r="I523" s="836"/>
      <c r="J523" s="2173"/>
      <c r="K523" s="2173"/>
      <c r="L523" s="2173"/>
      <c r="M523" s="2173"/>
      <c r="N523" s="2173"/>
      <c r="O523" s="2174"/>
      <c r="P523" s="2173"/>
      <c r="Q523" s="2173"/>
      <c r="R523" s="2176"/>
      <c r="S523" s="2272"/>
      <c r="T523" s="2272"/>
      <c r="U523" s="2177"/>
      <c r="V523" s="2178"/>
      <c r="W523" s="2179"/>
      <c r="X523" s="4394"/>
      <c r="Y523" s="2180"/>
    </row>
    <row r="524" spans="1:26" ht="14.1" customHeight="1" x14ac:dyDescent="0.2">
      <c r="A524" s="79">
        <v>512</v>
      </c>
      <c r="B524" s="1066" t="s">
        <v>1685</v>
      </c>
      <c r="C524" s="3374"/>
      <c r="D524" s="1666"/>
      <c r="E524" s="2011"/>
      <c r="F524" s="3782">
        <f>SUM(I524/I$11,J524/J$11,K524/K$11,L524/L$11,M524/M$11,N524/N$11,O524/O$11,P524/P$11,Q524/Q$11)/9*100+(G524/5000)+(IF(H524 = 0,G524,H524)/5000)</f>
        <v>0</v>
      </c>
      <c r="G524" s="3147"/>
      <c r="H524" s="3148"/>
      <c r="I524" s="1068"/>
      <c r="J524" s="3149"/>
      <c r="K524" s="3149"/>
      <c r="L524" s="3149"/>
      <c r="M524" s="3149"/>
      <c r="N524" s="3149"/>
      <c r="O524" s="3150"/>
      <c r="P524" s="3149"/>
      <c r="Q524" s="3149"/>
      <c r="R524" s="3151"/>
      <c r="S524" s="3147"/>
      <c r="T524" s="3147"/>
      <c r="U524" s="3152"/>
      <c r="V524" s="3153"/>
      <c r="W524" s="3154"/>
      <c r="X524" s="4412"/>
      <c r="Y524" s="2355"/>
      <c r="Z524" s="79">
        <v>512</v>
      </c>
    </row>
    <row r="525" spans="1:26" ht="14.1" customHeight="1" x14ac:dyDescent="0.2">
      <c r="B525" s="3381" t="s">
        <v>1685</v>
      </c>
      <c r="C525" s="1243"/>
      <c r="D525" s="1524"/>
      <c r="E525" s="2012"/>
      <c r="F525" s="3782">
        <f>SUM(I525/I$11,J525/J$11,K525/K$11,L525/L$11,M525/M$11,N525/N$11,O525/O$11,P525/P$11,Q525/Q$11)/9*100+(G525/5000)+(IF(H525 = 0,G525,H525)/5000)</f>
        <v>0</v>
      </c>
      <c r="G525" s="2272"/>
      <c r="H525" s="2172"/>
      <c r="I525" s="836"/>
      <c r="J525" s="2173"/>
      <c r="K525" s="2173"/>
      <c r="L525" s="2173"/>
      <c r="M525" s="2173"/>
      <c r="N525" s="2173"/>
      <c r="O525" s="2174"/>
      <c r="P525" s="2173"/>
      <c r="Q525" s="2173"/>
      <c r="R525" s="2176"/>
      <c r="S525" s="2272"/>
      <c r="T525" s="2272"/>
      <c r="U525" s="2177"/>
      <c r="V525" s="2178"/>
      <c r="W525" s="2179"/>
      <c r="X525" s="4394"/>
      <c r="Y525" s="2180"/>
    </row>
    <row r="526" spans="1:26" ht="14.1" customHeight="1" x14ac:dyDescent="0.2">
      <c r="A526" s="79">
        <v>514</v>
      </c>
      <c r="B526" s="1066" t="s">
        <v>1685</v>
      </c>
      <c r="C526" s="1239"/>
      <c r="D526" s="1666"/>
      <c r="E526" s="2011"/>
      <c r="F526" s="3782">
        <v>1</v>
      </c>
      <c r="G526" s="3147"/>
      <c r="H526" s="3147"/>
      <c r="I526" s="1068"/>
      <c r="J526" s="3149"/>
      <c r="K526" s="3149"/>
      <c r="L526" s="3149"/>
      <c r="M526" s="3149"/>
      <c r="N526" s="3149"/>
      <c r="O526" s="3150"/>
      <c r="P526" s="3149"/>
      <c r="Q526" s="3149"/>
      <c r="R526" s="3151"/>
      <c r="S526" s="3147"/>
      <c r="T526" s="3147"/>
      <c r="U526" s="3152"/>
      <c r="V526" s="3153"/>
      <c r="W526" s="3154"/>
      <c r="X526" s="4412"/>
      <c r="Y526" s="2355"/>
      <c r="Z526" s="79">
        <v>514</v>
      </c>
    </row>
    <row r="527" spans="1:26" ht="14.1" customHeight="1" x14ac:dyDescent="0.2">
      <c r="B527" s="4524" t="s">
        <v>1685</v>
      </c>
      <c r="C527" s="4525" t="s">
        <v>443</v>
      </c>
      <c r="D527" s="3827" t="s">
        <v>40</v>
      </c>
      <c r="E527" s="1993" t="s">
        <v>2130</v>
      </c>
      <c r="F527" s="3782">
        <f>SUM(I527/I$11,J527/J$11,K527/K$11,L527/L$11,M527/M$11,N527/N$11,O527/O$11,P527/P$11,Q527/Q$11)/9*100+(G527/5000)+(IF(H527 = 0,G527,H527)/5000)</f>
        <v>354.0151645037019</v>
      </c>
      <c r="G527" s="4526"/>
      <c r="H527" s="4526"/>
      <c r="I527" s="836">
        <v>370236272</v>
      </c>
      <c r="J527" s="2173">
        <v>823195607</v>
      </c>
      <c r="K527" s="2173">
        <v>899777684</v>
      </c>
      <c r="L527" s="2173">
        <v>682430303</v>
      </c>
      <c r="M527" s="2175">
        <v>885160026</v>
      </c>
      <c r="N527" s="2173">
        <v>698480738</v>
      </c>
      <c r="O527" s="4527">
        <v>765346757</v>
      </c>
      <c r="P527" s="2175">
        <v>183328407</v>
      </c>
      <c r="Q527" s="2173">
        <v>1006727888</v>
      </c>
      <c r="R527" s="4528" t="s">
        <v>428</v>
      </c>
      <c r="S527" s="4137" t="s">
        <v>131</v>
      </c>
      <c r="T527" s="4137" t="s">
        <v>2435</v>
      </c>
      <c r="U527" s="4529">
        <v>1</v>
      </c>
      <c r="V527" s="4530">
        <v>31152</v>
      </c>
      <c r="W527" s="4531" t="s">
        <v>76</v>
      </c>
      <c r="X527" s="4532" t="s">
        <v>378</v>
      </c>
      <c r="Y527" s="4533">
        <f t="shared" ref="Y527:Y545" ca="1" si="24">YEARFRAC(V527,Y$6)</f>
        <v>32.680555555555557</v>
      </c>
    </row>
    <row r="528" spans="1:26" ht="14.1" customHeight="1" x14ac:dyDescent="0.25">
      <c r="A528" s="79">
        <v>516</v>
      </c>
      <c r="B528" s="4534" t="s">
        <v>1103</v>
      </c>
      <c r="C528" s="1249" t="s">
        <v>444</v>
      </c>
      <c r="D528" s="4541"/>
      <c r="E528" s="4545"/>
      <c r="F528" s="4579"/>
      <c r="G528" s="4546"/>
      <c r="H528" s="4546"/>
      <c r="I528" s="1145" t="s">
        <v>454</v>
      </c>
      <c r="J528" s="4546" t="s">
        <v>445</v>
      </c>
      <c r="K528" s="4546" t="s">
        <v>445</v>
      </c>
      <c r="L528" s="4546" t="s">
        <v>445</v>
      </c>
      <c r="M528" s="4546" t="s">
        <v>445</v>
      </c>
      <c r="N528" s="4546" t="s">
        <v>445</v>
      </c>
      <c r="O528" s="4546" t="s">
        <v>445</v>
      </c>
      <c r="P528" s="4546" t="s">
        <v>445</v>
      </c>
      <c r="Q528" s="4546" t="s">
        <v>445</v>
      </c>
      <c r="R528" s="4549" t="s">
        <v>447</v>
      </c>
      <c r="S528" s="4546" t="s">
        <v>66</v>
      </c>
      <c r="T528" s="4546" t="s">
        <v>2435</v>
      </c>
      <c r="U528" s="4557">
        <v>1</v>
      </c>
      <c r="V528" s="4561">
        <v>37730</v>
      </c>
      <c r="W528" s="4567" t="s">
        <v>448</v>
      </c>
      <c r="X528" s="4572" t="s">
        <v>107</v>
      </c>
      <c r="Y528" s="4577">
        <f t="shared" ca="1" si="24"/>
        <v>14.669444444444444</v>
      </c>
      <c r="Z528" s="79">
        <v>516</v>
      </c>
    </row>
    <row r="529" spans="1:26" ht="14.1" customHeight="1" x14ac:dyDescent="0.25">
      <c r="A529" s="79"/>
      <c r="B529" s="4537" t="s">
        <v>1685</v>
      </c>
      <c r="C529" s="4539" t="s">
        <v>657</v>
      </c>
      <c r="D529" s="4544"/>
      <c r="E529" s="2016" t="s">
        <v>2130</v>
      </c>
      <c r="F529" s="4228"/>
      <c r="G529" s="2685"/>
      <c r="H529" s="2685"/>
      <c r="I529" s="1151" t="s">
        <v>445</v>
      </c>
      <c r="J529" s="2685" t="s">
        <v>446</v>
      </c>
      <c r="K529" s="2685" t="s">
        <v>445</v>
      </c>
      <c r="L529" s="2685" t="s">
        <v>445</v>
      </c>
      <c r="M529" s="2685" t="s">
        <v>445</v>
      </c>
      <c r="N529" s="2685" t="s">
        <v>445</v>
      </c>
      <c r="O529" s="2685" t="s">
        <v>445</v>
      </c>
      <c r="P529" s="2685" t="s">
        <v>445</v>
      </c>
      <c r="Q529" s="2685" t="s">
        <v>445</v>
      </c>
      <c r="R529" s="4552" t="s">
        <v>658</v>
      </c>
      <c r="S529" s="2683" t="s">
        <v>131</v>
      </c>
      <c r="T529" s="2683" t="s">
        <v>2435</v>
      </c>
      <c r="U529" s="4559">
        <v>1</v>
      </c>
      <c r="V529" s="4564">
        <v>34532</v>
      </c>
      <c r="W529" s="4569" t="s">
        <v>76</v>
      </c>
      <c r="X529" s="4574" t="s">
        <v>280</v>
      </c>
      <c r="Y529" s="4250">
        <f t="shared" ca="1" si="24"/>
        <v>23.425000000000001</v>
      </c>
      <c r="Z529" s="79"/>
    </row>
    <row r="530" spans="1:26" ht="14.1" customHeight="1" x14ac:dyDescent="0.25">
      <c r="A530" s="79">
        <v>518</v>
      </c>
      <c r="B530" s="4534" t="s">
        <v>1103</v>
      </c>
      <c r="C530" s="1249" t="s">
        <v>2465</v>
      </c>
      <c r="D530" s="4543" t="s">
        <v>40</v>
      </c>
      <c r="E530" s="4545"/>
      <c r="F530" s="4579"/>
      <c r="G530" s="4547"/>
      <c r="H530" s="4547"/>
      <c r="I530" s="1145" t="s">
        <v>454</v>
      </c>
      <c r="J530" s="4547" t="s">
        <v>445</v>
      </c>
      <c r="K530" s="4547" t="s">
        <v>445</v>
      </c>
      <c r="L530" s="4547" t="s">
        <v>445</v>
      </c>
      <c r="M530" s="4547" t="s">
        <v>445</v>
      </c>
      <c r="N530" s="4547" t="s">
        <v>445</v>
      </c>
      <c r="O530" s="4547" t="s">
        <v>445</v>
      </c>
      <c r="P530" s="4547" t="s">
        <v>445</v>
      </c>
      <c r="Q530" s="4547" t="s">
        <v>445</v>
      </c>
      <c r="R530" s="4551" t="s">
        <v>449</v>
      </c>
      <c r="S530" s="4547" t="s">
        <v>66</v>
      </c>
      <c r="T530" s="4547" t="s">
        <v>2435</v>
      </c>
      <c r="U530" s="4558">
        <v>1</v>
      </c>
      <c r="V530" s="4563">
        <v>36037</v>
      </c>
      <c r="W530" s="4567" t="s">
        <v>121</v>
      </c>
      <c r="X530" s="4572" t="s">
        <v>106</v>
      </c>
      <c r="Y530" s="4475">
        <f t="shared" ca="1" si="24"/>
        <v>19.305555555555557</v>
      </c>
      <c r="Z530" s="79">
        <v>518</v>
      </c>
    </row>
    <row r="531" spans="1:26" ht="14.1" customHeight="1" x14ac:dyDescent="0.2">
      <c r="B531" s="4535" t="s">
        <v>1685</v>
      </c>
      <c r="C531" s="1241" t="s">
        <v>2464</v>
      </c>
      <c r="D531" s="1964" t="s">
        <v>40</v>
      </c>
      <c r="E531" s="2016" t="s">
        <v>2130</v>
      </c>
      <c r="F531" s="4227"/>
      <c r="G531" s="2684"/>
      <c r="H531" s="2684"/>
      <c r="I531" s="2862" t="s">
        <v>454</v>
      </c>
      <c r="J531" s="2684" t="s">
        <v>445</v>
      </c>
      <c r="K531" s="2684" t="s">
        <v>445</v>
      </c>
      <c r="L531" s="2684" t="s">
        <v>445</v>
      </c>
      <c r="M531" s="2684" t="s">
        <v>445</v>
      </c>
      <c r="N531" s="2684" t="s">
        <v>445</v>
      </c>
      <c r="O531" s="2684" t="s">
        <v>445</v>
      </c>
      <c r="P531" s="2684" t="s">
        <v>445</v>
      </c>
      <c r="Q531" s="2684" t="s">
        <v>445</v>
      </c>
      <c r="R531" s="4234" t="s">
        <v>451</v>
      </c>
      <c r="S531" s="2684" t="s">
        <v>66</v>
      </c>
      <c r="T531" s="2684" t="s">
        <v>2435</v>
      </c>
      <c r="U531" s="4240">
        <v>1</v>
      </c>
      <c r="V531" s="4242">
        <v>38504</v>
      </c>
      <c r="W531" s="4245" t="s">
        <v>106</v>
      </c>
      <c r="X531" s="4413" t="s">
        <v>2019</v>
      </c>
      <c r="Y531" s="4250">
        <f t="shared" ca="1" si="24"/>
        <v>12.552777777777777</v>
      </c>
    </row>
    <row r="532" spans="1:26" ht="14.1" customHeight="1" x14ac:dyDescent="0.25">
      <c r="A532" s="79">
        <v>520</v>
      </c>
      <c r="B532" s="4534" t="s">
        <v>1103</v>
      </c>
      <c r="C532" s="1249" t="s">
        <v>2445</v>
      </c>
      <c r="D532" s="4543"/>
      <c r="E532" s="4545" t="s">
        <v>2130</v>
      </c>
      <c r="F532" s="4579"/>
      <c r="G532" s="4548"/>
      <c r="H532" s="4548"/>
      <c r="I532" s="1145" t="s">
        <v>454</v>
      </c>
      <c r="J532" s="4548" t="s">
        <v>445</v>
      </c>
      <c r="K532" s="4548" t="s">
        <v>445</v>
      </c>
      <c r="L532" s="4548" t="s">
        <v>445</v>
      </c>
      <c r="M532" s="4548" t="s">
        <v>445</v>
      </c>
      <c r="N532" s="4548" t="s">
        <v>445</v>
      </c>
      <c r="O532" s="4548" t="s">
        <v>445</v>
      </c>
      <c r="P532" s="4548" t="s">
        <v>445</v>
      </c>
      <c r="Q532" s="4548" t="s">
        <v>445</v>
      </c>
      <c r="R532" s="4553" t="s">
        <v>452</v>
      </c>
      <c r="S532" s="4548" t="s">
        <v>66</v>
      </c>
      <c r="T532" s="2689" t="s">
        <v>2435</v>
      </c>
      <c r="U532" s="4560">
        <v>1</v>
      </c>
      <c r="V532" s="4565">
        <v>35848</v>
      </c>
      <c r="W532" s="4570" t="s">
        <v>71</v>
      </c>
      <c r="X532" s="4575" t="s">
        <v>106</v>
      </c>
      <c r="Y532" s="4251">
        <f t="shared" ca="1" si="24"/>
        <v>19.827777777777779</v>
      </c>
      <c r="Z532" s="79">
        <v>520</v>
      </c>
    </row>
    <row r="533" spans="1:26" ht="14.1" customHeight="1" x14ac:dyDescent="0.2">
      <c r="B533" s="1072" t="s">
        <v>1103</v>
      </c>
      <c r="C533" s="1245" t="s">
        <v>1584</v>
      </c>
      <c r="D533" s="1965"/>
      <c r="E533" s="2016"/>
      <c r="F533" s="1983"/>
      <c r="G533" s="1132"/>
      <c r="H533" s="1132"/>
      <c r="I533" s="1151">
        <v>195832112</v>
      </c>
      <c r="J533" s="1152">
        <v>599546147</v>
      </c>
      <c r="K533" s="1132" t="s">
        <v>1204</v>
      </c>
      <c r="L533" s="1152">
        <v>466741686</v>
      </c>
      <c r="M533" s="1152">
        <v>597811477</v>
      </c>
      <c r="N533" s="1152">
        <v>491327051</v>
      </c>
      <c r="O533" s="1132" t="s">
        <v>1204</v>
      </c>
      <c r="P533" s="1152">
        <v>95172108</v>
      </c>
      <c r="Q533" s="1152">
        <v>526568173</v>
      </c>
      <c r="R533" s="1154" t="s">
        <v>1582</v>
      </c>
      <c r="S533" s="4554" t="s">
        <v>62</v>
      </c>
      <c r="T533" s="2685" t="s">
        <v>2435</v>
      </c>
      <c r="U533" s="1133">
        <v>1</v>
      </c>
      <c r="V533" s="1156">
        <v>41753</v>
      </c>
      <c r="W533" s="1155" t="s">
        <v>76</v>
      </c>
      <c r="X533" s="4425" t="s">
        <v>1583</v>
      </c>
      <c r="Y533" s="1074">
        <f t="shared" ca="1" si="24"/>
        <v>3.6555555555555554</v>
      </c>
    </row>
    <row r="534" spans="1:26" ht="14.1" customHeight="1" x14ac:dyDescent="0.25">
      <c r="A534" s="79">
        <v>522</v>
      </c>
      <c r="B534" s="1094" t="s">
        <v>1685</v>
      </c>
      <c r="C534" s="1242" t="s">
        <v>2463</v>
      </c>
      <c r="D534" s="1968" t="s">
        <v>40</v>
      </c>
      <c r="E534" s="2017" t="s">
        <v>2130</v>
      </c>
      <c r="F534" s="1981"/>
      <c r="G534" s="1095"/>
      <c r="H534" s="1095"/>
      <c r="I534" s="2521" t="s">
        <v>454</v>
      </c>
      <c r="J534" s="1095" t="s">
        <v>445</v>
      </c>
      <c r="K534" s="1095" t="s">
        <v>445</v>
      </c>
      <c r="L534" s="1095" t="s">
        <v>445</v>
      </c>
      <c r="M534" s="1095" t="s">
        <v>445</v>
      </c>
      <c r="N534" s="1095" t="s">
        <v>445</v>
      </c>
      <c r="O534" s="1095" t="s">
        <v>445</v>
      </c>
      <c r="P534" s="1095" t="s">
        <v>445</v>
      </c>
      <c r="Q534" s="1095" t="s">
        <v>445</v>
      </c>
      <c r="R534" s="1096" t="s">
        <v>453</v>
      </c>
      <c r="S534" s="1095" t="s">
        <v>66</v>
      </c>
      <c r="T534" s="2682" t="s">
        <v>2435</v>
      </c>
      <c r="U534" s="1097">
        <v>1</v>
      </c>
      <c r="V534" s="1098">
        <v>38247</v>
      </c>
      <c r="W534" s="1099" t="s">
        <v>98</v>
      </c>
      <c r="X534" s="4414" t="s">
        <v>2019</v>
      </c>
      <c r="Y534" s="1082">
        <f t="shared" ca="1" si="24"/>
        <v>13.258333333333333</v>
      </c>
      <c r="Z534" s="79">
        <v>522</v>
      </c>
    </row>
    <row r="535" spans="1:26" ht="14.1" customHeight="1" x14ac:dyDescent="0.25">
      <c r="B535" s="1090" t="s">
        <v>1685</v>
      </c>
      <c r="C535" s="1241" t="s">
        <v>2446</v>
      </c>
      <c r="D535" s="2859"/>
      <c r="E535" s="2014" t="s">
        <v>2130</v>
      </c>
      <c r="F535" s="1980"/>
      <c r="G535" s="1084"/>
      <c r="H535" s="1084"/>
      <c r="I535" s="1083" t="s">
        <v>454</v>
      </c>
      <c r="J535" s="1084" t="s">
        <v>445</v>
      </c>
      <c r="K535" s="1084" t="s">
        <v>445</v>
      </c>
      <c r="L535" s="1084" t="s">
        <v>445</v>
      </c>
      <c r="M535" s="1084" t="s">
        <v>445</v>
      </c>
      <c r="N535" s="1084" t="s">
        <v>445</v>
      </c>
      <c r="O535" s="1084" t="s">
        <v>445</v>
      </c>
      <c r="P535" s="1084" t="s">
        <v>445</v>
      </c>
      <c r="Q535" s="1084" t="s">
        <v>445</v>
      </c>
      <c r="R535" s="1085" t="s">
        <v>453</v>
      </c>
      <c r="S535" s="1084" t="s">
        <v>66</v>
      </c>
      <c r="T535" s="2684" t="s">
        <v>2435</v>
      </c>
      <c r="U535" s="1086">
        <v>1</v>
      </c>
      <c r="V535" s="1087">
        <v>38437</v>
      </c>
      <c r="W535" s="1088" t="s">
        <v>98</v>
      </c>
      <c r="X535" s="4415" t="s">
        <v>2019</v>
      </c>
      <c r="Y535" s="1089">
        <f t="shared" ca="1" si="24"/>
        <v>12.733333333333333</v>
      </c>
    </row>
    <row r="536" spans="1:26" ht="14.1" customHeight="1" x14ac:dyDescent="0.25">
      <c r="A536" s="79">
        <v>524</v>
      </c>
      <c r="B536" s="1090" t="s">
        <v>1685</v>
      </c>
      <c r="C536" s="1241" t="s">
        <v>2447</v>
      </c>
      <c r="D536" s="2859"/>
      <c r="E536" s="2014" t="s">
        <v>2130</v>
      </c>
      <c r="F536" s="1980"/>
      <c r="G536" s="1084"/>
      <c r="H536" s="1084"/>
      <c r="I536" s="1083" t="s">
        <v>454</v>
      </c>
      <c r="J536" s="1084" t="s">
        <v>445</v>
      </c>
      <c r="K536" s="1084" t="s">
        <v>445</v>
      </c>
      <c r="L536" s="1084" t="s">
        <v>445</v>
      </c>
      <c r="M536" s="1084" t="s">
        <v>445</v>
      </c>
      <c r="N536" s="1084" t="s">
        <v>445</v>
      </c>
      <c r="O536" s="1084" t="s">
        <v>445</v>
      </c>
      <c r="P536" s="1084" t="s">
        <v>445</v>
      </c>
      <c r="Q536" s="1084" t="s">
        <v>445</v>
      </c>
      <c r="R536" s="1085" t="s">
        <v>453</v>
      </c>
      <c r="S536" s="1084" t="s">
        <v>66</v>
      </c>
      <c r="T536" s="2684" t="s">
        <v>2435</v>
      </c>
      <c r="U536" s="1086">
        <v>1</v>
      </c>
      <c r="V536" s="1087">
        <v>38654</v>
      </c>
      <c r="W536" s="1088" t="s">
        <v>98</v>
      </c>
      <c r="X536" s="4415" t="s">
        <v>2019</v>
      </c>
      <c r="Y536" s="1089">
        <f t="shared" ca="1" si="24"/>
        <v>12.141666666666667</v>
      </c>
      <c r="Z536" s="79">
        <v>524</v>
      </c>
    </row>
    <row r="537" spans="1:26" ht="14.1" customHeight="1" x14ac:dyDescent="0.25">
      <c r="B537" s="4536" t="s">
        <v>1103</v>
      </c>
      <c r="C537" s="4223" t="s">
        <v>1653</v>
      </c>
      <c r="D537" s="4542"/>
      <c r="E537" s="2868"/>
      <c r="F537" s="1984"/>
      <c r="G537" s="2861"/>
      <c r="H537" s="2861"/>
      <c r="I537" s="1106" t="s">
        <v>454</v>
      </c>
      <c r="J537" s="1091" t="s">
        <v>445</v>
      </c>
      <c r="K537" s="1091" t="s">
        <v>445</v>
      </c>
      <c r="L537" s="1091" t="s">
        <v>445</v>
      </c>
      <c r="M537" s="1091" t="s">
        <v>445</v>
      </c>
      <c r="N537" s="1091" t="s">
        <v>445</v>
      </c>
      <c r="O537" s="1091" t="s">
        <v>445</v>
      </c>
      <c r="P537" s="1091" t="s">
        <v>445</v>
      </c>
      <c r="Q537" s="1091" t="s">
        <v>445</v>
      </c>
      <c r="R537" s="4550" t="s">
        <v>455</v>
      </c>
      <c r="S537" s="2861" t="s">
        <v>66</v>
      </c>
      <c r="T537" s="2871" t="s">
        <v>2435</v>
      </c>
      <c r="U537" s="2863">
        <v>1</v>
      </c>
      <c r="V537" s="4562">
        <v>38708</v>
      </c>
      <c r="W537" s="4568" t="s">
        <v>76</v>
      </c>
      <c r="X537" s="4573" t="s">
        <v>107</v>
      </c>
      <c r="Y537" s="1092">
        <f t="shared" ca="1" si="24"/>
        <v>11.994444444444444</v>
      </c>
    </row>
    <row r="538" spans="1:26" ht="14.1" customHeight="1" x14ac:dyDescent="0.2">
      <c r="A538" s="79">
        <v>526</v>
      </c>
      <c r="B538" s="1075" t="s">
        <v>1685</v>
      </c>
      <c r="C538" s="4538" t="s">
        <v>736</v>
      </c>
      <c r="D538" s="2866" t="s">
        <v>40</v>
      </c>
      <c r="E538" s="2015"/>
      <c r="F538" s="2869"/>
      <c r="G538" s="1120">
        <f>113.7+150.8+0+441.9+234.1+185.8+247.7+52.6+261.7</f>
        <v>1688.3</v>
      </c>
      <c r="H538" s="1120"/>
      <c r="I538" s="2870">
        <v>106399945</v>
      </c>
      <c r="J538" s="1078">
        <v>545946763</v>
      </c>
      <c r="K538" s="1078" t="s">
        <v>446</v>
      </c>
      <c r="L538" s="1078">
        <v>314421356</v>
      </c>
      <c r="M538" s="1078">
        <v>589988079</v>
      </c>
      <c r="N538" s="1078">
        <v>486967963</v>
      </c>
      <c r="O538" s="1076">
        <v>325999649</v>
      </c>
      <c r="P538" s="1078">
        <v>43408175</v>
      </c>
      <c r="Q538" s="1078">
        <v>209153722</v>
      </c>
      <c r="R538" s="4256" t="s">
        <v>187</v>
      </c>
      <c r="S538" s="4555" t="s">
        <v>66</v>
      </c>
      <c r="T538" s="4556" t="s">
        <v>2435</v>
      </c>
      <c r="U538" s="1121">
        <v>1</v>
      </c>
      <c r="V538" s="4566">
        <v>37798</v>
      </c>
      <c r="W538" s="4259" t="s">
        <v>71</v>
      </c>
      <c r="X538" s="4420" t="s">
        <v>737</v>
      </c>
      <c r="Y538" s="1082">
        <f t="shared" ca="1" si="24"/>
        <v>14.483333333333333</v>
      </c>
      <c r="Z538" s="79">
        <v>526</v>
      </c>
    </row>
    <row r="539" spans="1:26" ht="14.1" customHeight="1" x14ac:dyDescent="0.25">
      <c r="B539" s="1090" t="s">
        <v>1685</v>
      </c>
      <c r="C539" s="2858" t="s">
        <v>2462</v>
      </c>
      <c r="D539" s="1963"/>
      <c r="E539" s="2014" t="s">
        <v>2130</v>
      </c>
      <c r="F539" s="1982"/>
      <c r="G539" s="1084"/>
      <c r="H539" s="1084"/>
      <c r="I539" s="1105" t="s">
        <v>454</v>
      </c>
      <c r="J539" s="1084" t="s">
        <v>445</v>
      </c>
      <c r="K539" s="1084" t="s">
        <v>445</v>
      </c>
      <c r="L539" s="1084" t="s">
        <v>445</v>
      </c>
      <c r="M539" s="1084" t="s">
        <v>445</v>
      </c>
      <c r="N539" s="1084" t="s">
        <v>445</v>
      </c>
      <c r="O539" s="1084" t="s">
        <v>445</v>
      </c>
      <c r="P539" s="1084" t="s">
        <v>445</v>
      </c>
      <c r="Q539" s="1084" t="s">
        <v>445</v>
      </c>
      <c r="R539" s="1085" t="s">
        <v>456</v>
      </c>
      <c r="S539" s="1084" t="s">
        <v>131</v>
      </c>
      <c r="T539" s="2684" t="s">
        <v>2435</v>
      </c>
      <c r="U539" s="1086">
        <v>1</v>
      </c>
      <c r="V539" s="1087">
        <v>35892</v>
      </c>
      <c r="W539" s="1088" t="s">
        <v>297</v>
      </c>
      <c r="X539" s="4415" t="s">
        <v>106</v>
      </c>
      <c r="Y539" s="1089">
        <f t="shared" ca="1" si="24"/>
        <v>19.702777777777779</v>
      </c>
    </row>
    <row r="540" spans="1:26" ht="14.1" customHeight="1" x14ac:dyDescent="0.2">
      <c r="A540" s="79">
        <v>528</v>
      </c>
      <c r="B540" s="1123" t="s">
        <v>1685</v>
      </c>
      <c r="C540" s="2858" t="s">
        <v>457</v>
      </c>
      <c r="D540" s="1964" t="s">
        <v>40</v>
      </c>
      <c r="E540" s="2016"/>
      <c r="F540" s="2860"/>
      <c r="G540" s="1084"/>
      <c r="H540" s="1084"/>
      <c r="I540" s="1101" t="s">
        <v>454</v>
      </c>
      <c r="J540" s="1084" t="s">
        <v>445</v>
      </c>
      <c r="K540" s="1084" t="s">
        <v>445</v>
      </c>
      <c r="L540" s="1084" t="s">
        <v>445</v>
      </c>
      <c r="M540" s="1084" t="s">
        <v>445</v>
      </c>
      <c r="N540" s="1084" t="s">
        <v>445</v>
      </c>
      <c r="O540" s="1084" t="s">
        <v>445</v>
      </c>
      <c r="P540" s="1084" t="s">
        <v>445</v>
      </c>
      <c r="Q540" s="1084" t="s">
        <v>445</v>
      </c>
      <c r="R540" s="1085" t="s">
        <v>458</v>
      </c>
      <c r="S540" s="1084" t="s">
        <v>131</v>
      </c>
      <c r="T540" s="2684" t="s">
        <v>2435</v>
      </c>
      <c r="U540" s="1086">
        <v>1</v>
      </c>
      <c r="V540" s="1087">
        <v>33100</v>
      </c>
      <c r="W540" s="4247" t="s">
        <v>106</v>
      </c>
      <c r="X540" s="4415" t="s">
        <v>459</v>
      </c>
      <c r="Y540" s="1089">
        <f t="shared" ca="1" si="24"/>
        <v>27.347222222222221</v>
      </c>
      <c r="Z540" s="79">
        <v>528</v>
      </c>
    </row>
    <row r="541" spans="1:26" ht="14.1" customHeight="1" x14ac:dyDescent="0.2">
      <c r="B541" s="1186" t="s">
        <v>1103</v>
      </c>
      <c r="C541" s="4540" t="s">
        <v>1070</v>
      </c>
      <c r="D541" s="4226"/>
      <c r="E541" s="2019"/>
      <c r="F541" s="1985"/>
      <c r="G541" s="1115">
        <f>125.3+202.4+38.2+424.3+0+0+147.8+0+79.07+99.9+558.6</f>
        <v>1675.5700000000002</v>
      </c>
      <c r="H541" s="1115"/>
      <c r="I541" s="1106" t="s">
        <v>445</v>
      </c>
      <c r="J541" s="1115">
        <v>241639016</v>
      </c>
      <c r="K541" s="1115" t="s">
        <v>445</v>
      </c>
      <c r="L541" s="1115">
        <v>482093346</v>
      </c>
      <c r="M541" s="1115" t="s">
        <v>446</v>
      </c>
      <c r="N541" s="1115" t="s">
        <v>446</v>
      </c>
      <c r="O541" s="1115" t="s">
        <v>446</v>
      </c>
      <c r="P541" s="1115">
        <v>122234208</v>
      </c>
      <c r="Q541" s="1115">
        <v>551281775</v>
      </c>
      <c r="R541" s="1116" t="s">
        <v>1066</v>
      </c>
      <c r="S541" s="1115" t="s">
        <v>66</v>
      </c>
      <c r="T541" s="2694" t="s">
        <v>2435</v>
      </c>
      <c r="U541" s="1191">
        <v>1</v>
      </c>
      <c r="V541" s="1117">
        <v>40197</v>
      </c>
      <c r="W541" s="4571" t="s">
        <v>106</v>
      </c>
      <c r="X541" s="4576" t="s">
        <v>106</v>
      </c>
      <c r="Y541" s="1092">
        <f t="shared" ca="1" si="24"/>
        <v>7.9194444444444443</v>
      </c>
    </row>
    <row r="542" spans="1:26" ht="14.1" customHeight="1" x14ac:dyDescent="0.2">
      <c r="A542" s="79">
        <v>530</v>
      </c>
      <c r="B542" s="1119" t="s">
        <v>1685</v>
      </c>
      <c r="C542" s="4538" t="s">
        <v>2661</v>
      </c>
      <c r="D542" s="2866" t="s">
        <v>40</v>
      </c>
      <c r="E542" s="4255" t="s">
        <v>2130</v>
      </c>
      <c r="F542" s="2869"/>
      <c r="G542" s="1120">
        <f>42.64+191.62+87.7+0+89.7+76.98+124.51+16.49</f>
        <v>629.64</v>
      </c>
      <c r="H542" s="1120"/>
      <c r="I542" s="1076">
        <v>139685284</v>
      </c>
      <c r="J542" s="1076">
        <v>563731324</v>
      </c>
      <c r="K542" s="1076">
        <v>506289253</v>
      </c>
      <c r="L542" s="1076" t="s">
        <v>2780</v>
      </c>
      <c r="M542" s="1076">
        <v>593035566</v>
      </c>
      <c r="N542" s="1076">
        <v>484599273</v>
      </c>
      <c r="O542" s="1076">
        <v>401950271</v>
      </c>
      <c r="P542" s="1076">
        <v>54269277</v>
      </c>
      <c r="Q542" s="1076" t="s">
        <v>2780</v>
      </c>
      <c r="R542" s="4256" t="s">
        <v>2657</v>
      </c>
      <c r="S542" s="4555" t="s">
        <v>66</v>
      </c>
      <c r="T542" s="4556" t="s">
        <v>2435</v>
      </c>
      <c r="U542" s="1121">
        <v>1</v>
      </c>
      <c r="V542" s="4566">
        <v>36020</v>
      </c>
      <c r="W542" s="4259" t="s">
        <v>76</v>
      </c>
      <c r="X542" s="4420" t="s">
        <v>280</v>
      </c>
      <c r="Y542" s="1082">
        <f t="shared" ca="1" si="24"/>
        <v>19.352777777777778</v>
      </c>
      <c r="Z542" s="79">
        <v>530</v>
      </c>
    </row>
    <row r="543" spans="1:26" ht="14.1" customHeight="1" x14ac:dyDescent="0.2">
      <c r="B543" s="1112" t="s">
        <v>1685</v>
      </c>
      <c r="C543" s="1243" t="s">
        <v>2663</v>
      </c>
      <c r="D543" s="1965" t="s">
        <v>40</v>
      </c>
      <c r="E543" s="2021" t="s">
        <v>2130</v>
      </c>
      <c r="F543" s="1983"/>
      <c r="G543" s="1100">
        <f>389.67+2895.41+1530.42+0+1771.54</f>
        <v>6587.04</v>
      </c>
      <c r="H543" s="4578"/>
      <c r="I543" s="1103">
        <v>121296238</v>
      </c>
      <c r="J543" s="1104">
        <v>574927782</v>
      </c>
      <c r="K543" s="1104">
        <v>511714478</v>
      </c>
      <c r="L543" s="1104" t="s">
        <v>2780</v>
      </c>
      <c r="M543" s="1104">
        <v>595669155</v>
      </c>
      <c r="N543" s="1104" t="s">
        <v>446</v>
      </c>
      <c r="O543" s="1105" t="s">
        <v>445</v>
      </c>
      <c r="P543" s="1104" t="s">
        <v>445</v>
      </c>
      <c r="Q543" s="1104" t="s">
        <v>2780</v>
      </c>
      <c r="R543" s="4479" t="s">
        <v>2657</v>
      </c>
      <c r="S543" s="1100" t="s">
        <v>66</v>
      </c>
      <c r="T543" s="4239" t="s">
        <v>2435</v>
      </c>
      <c r="U543" s="1102">
        <v>1</v>
      </c>
      <c r="V543" s="4480">
        <v>36025</v>
      </c>
      <c r="W543" s="4481" t="s">
        <v>76</v>
      </c>
      <c r="X543" s="4482" t="s">
        <v>280</v>
      </c>
      <c r="Y543" s="1089">
        <f t="shared" ca="1" si="24"/>
        <v>19.338888888888889</v>
      </c>
    </row>
    <row r="544" spans="1:26" ht="14.1" customHeight="1" x14ac:dyDescent="0.2">
      <c r="A544" s="79">
        <v>532</v>
      </c>
      <c r="B544" s="1112" t="s">
        <v>1685</v>
      </c>
      <c r="C544" s="1243" t="s">
        <v>2665</v>
      </c>
      <c r="D544" s="1965" t="s">
        <v>40</v>
      </c>
      <c r="E544" s="2021" t="s">
        <v>2130</v>
      </c>
      <c r="F544" s="1983"/>
      <c r="G544" s="1100">
        <f>49.1+129.61+101.43+0+119.44+98.94+136.12+24.89</f>
        <v>659.53</v>
      </c>
      <c r="H544" s="4578"/>
      <c r="I544" s="1103">
        <v>136407373</v>
      </c>
      <c r="J544" s="1104">
        <v>562157877</v>
      </c>
      <c r="K544" s="1104">
        <v>511938708</v>
      </c>
      <c r="L544" s="1104" t="s">
        <v>2780</v>
      </c>
      <c r="M544" s="1104">
        <v>593716185</v>
      </c>
      <c r="N544" s="1104">
        <v>486471124</v>
      </c>
      <c r="O544" s="1105">
        <v>401734854</v>
      </c>
      <c r="P544" s="1104">
        <v>53700907</v>
      </c>
      <c r="Q544" s="1104" t="s">
        <v>2780</v>
      </c>
      <c r="R544" s="4479" t="s">
        <v>2657</v>
      </c>
      <c r="S544" s="1100" t="s">
        <v>66</v>
      </c>
      <c r="T544" s="4239" t="s">
        <v>2435</v>
      </c>
      <c r="U544" s="1102">
        <v>1</v>
      </c>
      <c r="V544" s="4480">
        <v>35856</v>
      </c>
      <c r="W544" s="4481" t="s">
        <v>76</v>
      </c>
      <c r="X544" s="4482" t="s">
        <v>280</v>
      </c>
      <c r="Y544" s="1089">
        <f t="shared" ca="1" si="24"/>
        <v>19.8</v>
      </c>
      <c r="Z544" s="79">
        <v>532</v>
      </c>
    </row>
    <row r="545" spans="1:26" ht="14.1" customHeight="1" x14ac:dyDescent="0.25">
      <c r="B545" s="2864" t="s">
        <v>1685</v>
      </c>
      <c r="C545" s="4223" t="s">
        <v>1654</v>
      </c>
      <c r="D545" s="2867"/>
      <c r="E545" s="2868" t="s">
        <v>2130</v>
      </c>
      <c r="F545" s="1985"/>
      <c r="G545" s="2861"/>
      <c r="H545" s="2861"/>
      <c r="I545" s="1106" t="s">
        <v>445</v>
      </c>
      <c r="J545" s="1115" t="s">
        <v>446</v>
      </c>
      <c r="K545" s="1115" t="s">
        <v>445</v>
      </c>
      <c r="L545" s="1115" t="s">
        <v>446</v>
      </c>
      <c r="M545" s="1115">
        <v>594011053</v>
      </c>
      <c r="N545" s="1115" t="s">
        <v>446</v>
      </c>
      <c r="O545" s="1115">
        <v>432754083</v>
      </c>
      <c r="P545" s="1115">
        <v>42994101</v>
      </c>
      <c r="Q545" s="1115">
        <v>264953634</v>
      </c>
      <c r="R545" s="4235" t="s">
        <v>279</v>
      </c>
      <c r="S545" s="4237" t="s">
        <v>66</v>
      </c>
      <c r="T545" s="4238" t="s">
        <v>2435</v>
      </c>
      <c r="U545" s="2863">
        <v>1</v>
      </c>
      <c r="V545" s="4243">
        <v>36491</v>
      </c>
      <c r="W545" s="4246" t="s">
        <v>71</v>
      </c>
      <c r="X545" s="4418" t="s">
        <v>280</v>
      </c>
      <c r="Y545" s="1092">
        <f t="shared" ca="1" si="24"/>
        <v>18.06388888888889</v>
      </c>
    </row>
    <row r="546" spans="1:26" ht="14.1" customHeight="1" x14ac:dyDescent="0.25">
      <c r="A546" s="79">
        <v>534</v>
      </c>
      <c r="B546" s="1075" t="s">
        <v>1685</v>
      </c>
      <c r="C546" s="1258" t="s">
        <v>219</v>
      </c>
      <c r="D546" s="2865"/>
      <c r="E546" s="2015" t="s">
        <v>2130</v>
      </c>
      <c r="F546" s="2869"/>
      <c r="G546" s="1076"/>
      <c r="H546" s="1076"/>
      <c r="I546" s="2870" t="s">
        <v>445</v>
      </c>
      <c r="J546" s="1078" t="s">
        <v>446</v>
      </c>
      <c r="K546" s="1078" t="s">
        <v>445</v>
      </c>
      <c r="L546" s="1078" t="s">
        <v>446</v>
      </c>
      <c r="M546" s="1078">
        <v>596458536</v>
      </c>
      <c r="N546" s="1078" t="s">
        <v>446</v>
      </c>
      <c r="O546" s="1076">
        <v>366982558</v>
      </c>
      <c r="P546" s="1078">
        <v>42037642</v>
      </c>
      <c r="Q546" s="1078">
        <v>221796499</v>
      </c>
      <c r="R546" s="1077" t="s">
        <v>220</v>
      </c>
      <c r="S546" s="1078" t="s">
        <v>66</v>
      </c>
      <c r="T546" s="2695" t="s">
        <v>2435</v>
      </c>
      <c r="U546" s="4241">
        <v>8</v>
      </c>
      <c r="V546" s="1080">
        <v>39503</v>
      </c>
      <c r="W546" s="1081" t="s">
        <v>73</v>
      </c>
      <c r="X546" s="4419" t="s">
        <v>237</v>
      </c>
      <c r="Y546" s="1082">
        <f t="shared" ref="Y546:Y556" ca="1" si="25">YEARFRAC(V546,Y$6)</f>
        <v>9.8194444444444446</v>
      </c>
      <c r="Z546" s="79">
        <v>534</v>
      </c>
    </row>
    <row r="547" spans="1:26" ht="14.1" customHeight="1" x14ac:dyDescent="0.25">
      <c r="B547" s="1112" t="s">
        <v>1685</v>
      </c>
      <c r="C547" s="4224" t="s">
        <v>2448</v>
      </c>
      <c r="D547" s="1966" t="s">
        <v>40</v>
      </c>
      <c r="E547" s="2018" t="s">
        <v>2130</v>
      </c>
      <c r="F547" s="1982"/>
      <c r="G547" s="1100"/>
      <c r="H547" s="1100"/>
      <c r="I547" s="1108" t="s">
        <v>454</v>
      </c>
      <c r="J547" s="1084" t="s">
        <v>445</v>
      </c>
      <c r="K547" s="1084" t="s">
        <v>445</v>
      </c>
      <c r="L547" s="1084" t="s">
        <v>445</v>
      </c>
      <c r="M547" s="1084" t="s">
        <v>445</v>
      </c>
      <c r="N547" s="1084" t="s">
        <v>445</v>
      </c>
      <c r="O547" s="1084" t="s">
        <v>445</v>
      </c>
      <c r="P547" s="1084" t="s">
        <v>445</v>
      </c>
      <c r="Q547" s="1084" t="s">
        <v>445</v>
      </c>
      <c r="R547" s="4236" t="s">
        <v>460</v>
      </c>
      <c r="S547" s="1100" t="s">
        <v>131</v>
      </c>
      <c r="T547" s="4239" t="s">
        <v>2435</v>
      </c>
      <c r="U547" s="1102">
        <v>1</v>
      </c>
      <c r="V547" s="4244">
        <v>36497</v>
      </c>
      <c r="W547" s="4248" t="s">
        <v>106</v>
      </c>
      <c r="X547" s="4417" t="s">
        <v>461</v>
      </c>
      <c r="Y547" s="1089">
        <f t="shared" ca="1" si="25"/>
        <v>18.047222222222221</v>
      </c>
    </row>
    <row r="548" spans="1:26" ht="14.1" customHeight="1" x14ac:dyDescent="0.25">
      <c r="A548" s="79">
        <v>536</v>
      </c>
      <c r="B548" s="1072" t="s">
        <v>1103</v>
      </c>
      <c r="C548" s="1241" t="s">
        <v>462</v>
      </c>
      <c r="D548" s="1962"/>
      <c r="E548" s="2014"/>
      <c r="F548" s="1980"/>
      <c r="G548" s="1084"/>
      <c r="H548" s="1084"/>
      <c r="I548" s="4233" t="s">
        <v>454</v>
      </c>
      <c r="J548" s="1084" t="s">
        <v>445</v>
      </c>
      <c r="K548" s="1084" t="s">
        <v>445</v>
      </c>
      <c r="L548" s="1084" t="s">
        <v>445</v>
      </c>
      <c r="M548" s="1084" t="s">
        <v>445</v>
      </c>
      <c r="N548" s="1084" t="s">
        <v>445</v>
      </c>
      <c r="O548" s="1122" t="s">
        <v>1204</v>
      </c>
      <c r="P548" s="1084" t="s">
        <v>445</v>
      </c>
      <c r="Q548" s="1084" t="s">
        <v>445</v>
      </c>
      <c r="R548" s="1085" t="s">
        <v>463</v>
      </c>
      <c r="S548" s="1084" t="s">
        <v>66</v>
      </c>
      <c r="T548" s="2684" t="s">
        <v>2435</v>
      </c>
      <c r="U548" s="1086">
        <v>1</v>
      </c>
      <c r="V548" s="1087">
        <v>37663</v>
      </c>
      <c r="W548" s="1088" t="s">
        <v>106</v>
      </c>
      <c r="X548" s="4415" t="s">
        <v>106</v>
      </c>
      <c r="Y548" s="1089">
        <f t="shared" ca="1" si="25"/>
        <v>14.858333333333333</v>
      </c>
      <c r="Z548" s="79">
        <v>536</v>
      </c>
    </row>
    <row r="549" spans="1:26" ht="14.1" customHeight="1" x14ac:dyDescent="0.2">
      <c r="B549" s="1113" t="s">
        <v>1685</v>
      </c>
      <c r="C549" s="4225" t="s">
        <v>739</v>
      </c>
      <c r="D549" s="2520" t="s">
        <v>40</v>
      </c>
      <c r="E549" s="2019" t="s">
        <v>2130</v>
      </c>
      <c r="F549" s="1985"/>
      <c r="G549" s="2861"/>
      <c r="H549" s="2861"/>
      <c r="I549" s="4231" t="s">
        <v>445</v>
      </c>
      <c r="J549" s="1114">
        <v>118246986</v>
      </c>
      <c r="K549" s="1114" t="s">
        <v>445</v>
      </c>
      <c r="L549" s="1114" t="s">
        <v>446</v>
      </c>
      <c r="M549" s="1114" t="s">
        <v>446</v>
      </c>
      <c r="N549" s="1114">
        <v>484981835</v>
      </c>
      <c r="O549" s="1115" t="s">
        <v>446</v>
      </c>
      <c r="P549" s="1114">
        <v>40811822</v>
      </c>
      <c r="Q549" s="1114" t="s">
        <v>446</v>
      </c>
      <c r="R549" s="4235" t="s">
        <v>742</v>
      </c>
      <c r="S549" s="4237" t="s">
        <v>66</v>
      </c>
      <c r="T549" s="4238" t="s">
        <v>2435</v>
      </c>
      <c r="U549" s="2863">
        <v>1</v>
      </c>
      <c r="V549" s="4243">
        <v>39898</v>
      </c>
      <c r="W549" s="4249" t="s">
        <v>106</v>
      </c>
      <c r="X549" s="4418" t="s">
        <v>740</v>
      </c>
      <c r="Y549" s="1092">
        <f t="shared" ca="1" si="25"/>
        <v>8.7333333333333325</v>
      </c>
    </row>
    <row r="550" spans="1:26" ht="14.1" customHeight="1" x14ac:dyDescent="0.25">
      <c r="A550" s="79">
        <v>538</v>
      </c>
      <c r="B550" s="1094" t="s">
        <v>1685</v>
      </c>
      <c r="C550" s="1244" t="s">
        <v>464</v>
      </c>
      <c r="D550" s="1968"/>
      <c r="E550" s="2017" t="s">
        <v>2130</v>
      </c>
      <c r="F550" s="4229"/>
      <c r="G550" s="1095"/>
      <c r="H550" s="1095"/>
      <c r="I550" s="1107" t="s">
        <v>454</v>
      </c>
      <c r="J550" s="1076" t="s">
        <v>445</v>
      </c>
      <c r="K550" s="1076" t="s">
        <v>445</v>
      </c>
      <c r="L550" s="1076" t="s">
        <v>445</v>
      </c>
      <c r="M550" s="1076" t="s">
        <v>445</v>
      </c>
      <c r="N550" s="1076" t="s">
        <v>445</v>
      </c>
      <c r="O550" s="1076" t="s">
        <v>445</v>
      </c>
      <c r="P550" s="1076" t="s">
        <v>445</v>
      </c>
      <c r="Q550" s="1076" t="s">
        <v>445</v>
      </c>
      <c r="R550" s="1096" t="s">
        <v>465</v>
      </c>
      <c r="S550" s="1095" t="s">
        <v>131</v>
      </c>
      <c r="T550" s="2682" t="s">
        <v>2435</v>
      </c>
      <c r="U550" s="1097">
        <v>1</v>
      </c>
      <c r="V550" s="1098">
        <v>35373</v>
      </c>
      <c r="W550" s="1099" t="s">
        <v>73</v>
      </c>
      <c r="X550" s="4414" t="s">
        <v>106</v>
      </c>
      <c r="Y550" s="1082">
        <f t="shared" ca="1" si="25"/>
        <v>21.127777777777776</v>
      </c>
      <c r="Z550" s="79">
        <v>538</v>
      </c>
    </row>
    <row r="551" spans="1:26" ht="14.1" customHeight="1" x14ac:dyDescent="0.25">
      <c r="B551" s="1090" t="s">
        <v>1685</v>
      </c>
      <c r="C551" s="2858" t="s">
        <v>2449</v>
      </c>
      <c r="D551" s="1963"/>
      <c r="E551" s="2014" t="s">
        <v>2130</v>
      </c>
      <c r="F551" s="1980"/>
      <c r="G551" s="1084"/>
      <c r="H551" s="1084"/>
      <c r="I551" s="4232" t="s">
        <v>454</v>
      </c>
      <c r="J551" s="1084" t="s">
        <v>445</v>
      </c>
      <c r="K551" s="1084" t="s">
        <v>445</v>
      </c>
      <c r="L551" s="1084" t="s">
        <v>445</v>
      </c>
      <c r="M551" s="1084" t="s">
        <v>445</v>
      </c>
      <c r="N551" s="1084" t="s">
        <v>445</v>
      </c>
      <c r="O551" s="1084" t="s">
        <v>445</v>
      </c>
      <c r="P551" s="1084" t="s">
        <v>445</v>
      </c>
      <c r="Q551" s="1084" t="s">
        <v>445</v>
      </c>
      <c r="R551" s="1085" t="s">
        <v>466</v>
      </c>
      <c r="S551" s="1084" t="s">
        <v>131</v>
      </c>
      <c r="T551" s="2684" t="s">
        <v>2435</v>
      </c>
      <c r="U551" s="1086">
        <v>1</v>
      </c>
      <c r="V551" s="1087">
        <v>35794</v>
      </c>
      <c r="W551" s="1088" t="s">
        <v>467</v>
      </c>
      <c r="X551" s="4415" t="s">
        <v>106</v>
      </c>
      <c r="Y551" s="1089">
        <f t="shared" ca="1" si="25"/>
        <v>19.972222222222221</v>
      </c>
    </row>
    <row r="552" spans="1:26" ht="14.1" customHeight="1" x14ac:dyDescent="0.2">
      <c r="A552" s="79">
        <v>540</v>
      </c>
      <c r="B552" s="1112" t="s">
        <v>1685</v>
      </c>
      <c r="C552" s="1245" t="s">
        <v>2444</v>
      </c>
      <c r="D552" s="1964" t="s">
        <v>40</v>
      </c>
      <c r="E552" s="2016" t="s">
        <v>2130</v>
      </c>
      <c r="F552" s="1983"/>
      <c r="G552" s="1105"/>
      <c r="H552" s="4230"/>
      <c r="I552" s="1124">
        <v>224887621</v>
      </c>
      <c r="J552" s="1104" t="s">
        <v>446</v>
      </c>
      <c r="K552" s="1104" t="s">
        <v>445</v>
      </c>
      <c r="L552" s="1104" t="s">
        <v>445</v>
      </c>
      <c r="M552" s="1104" t="s">
        <v>445</v>
      </c>
      <c r="N552" s="1104" t="s">
        <v>445</v>
      </c>
      <c r="O552" s="1105" t="s">
        <v>445</v>
      </c>
      <c r="P552" s="1104" t="s">
        <v>445</v>
      </c>
      <c r="Q552" s="1104" t="s">
        <v>445</v>
      </c>
      <c r="R552" s="1109" t="s">
        <v>2442</v>
      </c>
      <c r="S552" s="1104" t="s">
        <v>66</v>
      </c>
      <c r="T552" s="2683" t="s">
        <v>2435</v>
      </c>
      <c r="U552" s="1110">
        <v>1</v>
      </c>
      <c r="V552" s="1111">
        <v>42797</v>
      </c>
      <c r="W552" s="1174" t="s">
        <v>2443</v>
      </c>
      <c r="X552" s="4416" t="s">
        <v>404</v>
      </c>
      <c r="Y552" s="1089">
        <f t="shared" ca="1" si="25"/>
        <v>0.79722222222222228</v>
      </c>
      <c r="Z552" s="79">
        <v>540</v>
      </c>
    </row>
    <row r="553" spans="1:26" ht="14.1" customHeight="1" x14ac:dyDescent="0.2">
      <c r="B553" s="2864" t="s">
        <v>1685</v>
      </c>
      <c r="C553" s="4643" t="s">
        <v>2765</v>
      </c>
      <c r="D553" s="4226"/>
      <c r="E553" s="4252"/>
      <c r="F553" s="1985"/>
      <c r="G553" s="2861">
        <f>567.17+565.77+1041.08+954.82+986.05+927.56+314.29+654.88+1839.73</f>
        <v>7851.35</v>
      </c>
      <c r="H553" s="2861">
        <f>598.6+305.2+958.98+942.02+936+796.59+250.4+350.23+1734</f>
        <v>6872.02</v>
      </c>
      <c r="I553" s="4231" t="s">
        <v>2772</v>
      </c>
      <c r="J553" s="1114">
        <v>358955070</v>
      </c>
      <c r="K553" s="1114">
        <v>454587705</v>
      </c>
      <c r="L553" s="1114">
        <v>273293764</v>
      </c>
      <c r="M553" s="1114">
        <v>572549432</v>
      </c>
      <c r="N553" s="1114">
        <v>478756873</v>
      </c>
      <c r="O553" s="1115">
        <v>265751119</v>
      </c>
      <c r="P553" s="1114">
        <v>32162806</v>
      </c>
      <c r="Q553" s="1114">
        <v>152447087</v>
      </c>
      <c r="R553" s="4235" t="s">
        <v>68</v>
      </c>
      <c r="S553" s="4253" t="s">
        <v>62</v>
      </c>
      <c r="T553" s="2871" t="s">
        <v>2435</v>
      </c>
      <c r="U553" s="2863">
        <v>1</v>
      </c>
      <c r="V553" s="4254">
        <v>39741</v>
      </c>
      <c r="W553" s="4246" t="s">
        <v>69</v>
      </c>
      <c r="X553" s="4418" t="s">
        <v>1229</v>
      </c>
      <c r="Y553" s="1092">
        <f t="shared" ca="1" si="25"/>
        <v>9.1666666666666661</v>
      </c>
    </row>
    <row r="554" spans="1:26" ht="14.1" customHeight="1" x14ac:dyDescent="0.2">
      <c r="A554" s="79">
        <v>542</v>
      </c>
      <c r="B554" s="1119" t="s">
        <v>1685</v>
      </c>
      <c r="C554" s="4538" t="s">
        <v>2766</v>
      </c>
      <c r="D554" s="2866"/>
      <c r="E554" s="4255"/>
      <c r="F554" s="2869"/>
      <c r="G554" s="1120">
        <f>585.99+546.24+946.83+1050.06+997.34+786.47+222.04+339.26+1803.23</f>
        <v>7277.4600000000009</v>
      </c>
      <c r="H554" s="1120"/>
      <c r="I554" s="2872" t="s">
        <v>2772</v>
      </c>
      <c r="J554" s="1078">
        <v>358182180</v>
      </c>
      <c r="K554" s="1078">
        <v>454020214</v>
      </c>
      <c r="L554" s="1078">
        <v>269929530</v>
      </c>
      <c r="M554" s="1078">
        <v>572511949</v>
      </c>
      <c r="N554" s="1078">
        <v>478741611</v>
      </c>
      <c r="O554" s="1076">
        <v>265853113</v>
      </c>
      <c r="P554" s="1078">
        <v>31782343</v>
      </c>
      <c r="Q554" s="1078">
        <v>150208342</v>
      </c>
      <c r="R554" s="4256" t="s">
        <v>68</v>
      </c>
      <c r="S554" s="4257" t="s">
        <v>62</v>
      </c>
      <c r="T554" s="2687" t="s">
        <v>2435</v>
      </c>
      <c r="U554" s="1121">
        <v>1</v>
      </c>
      <c r="V554" s="4258">
        <v>39998</v>
      </c>
      <c r="W554" s="4259" t="s">
        <v>69</v>
      </c>
      <c r="X554" s="4420" t="s">
        <v>1229</v>
      </c>
      <c r="Y554" s="1082">
        <f t="shared" ca="1" si="25"/>
        <v>8.4611111111111104</v>
      </c>
      <c r="Z554" s="79">
        <v>542</v>
      </c>
    </row>
    <row r="555" spans="1:26" ht="14.1" customHeight="1" x14ac:dyDescent="0.2">
      <c r="B555" s="1123" t="s">
        <v>1685</v>
      </c>
      <c r="C555" s="1246" t="s">
        <v>2460</v>
      </c>
      <c r="D555" s="1964" t="s">
        <v>40</v>
      </c>
      <c r="E555" s="2016" t="s">
        <v>2130</v>
      </c>
      <c r="F555" s="1986"/>
      <c r="G555" s="1105"/>
      <c r="H555" s="1105"/>
      <c r="I555" s="1101" t="s">
        <v>446</v>
      </c>
      <c r="J555" s="1105" t="s">
        <v>446</v>
      </c>
      <c r="K555" s="1105" t="s">
        <v>445</v>
      </c>
      <c r="L555" s="1105" t="s">
        <v>446</v>
      </c>
      <c r="M555" s="1105">
        <v>576791694</v>
      </c>
      <c r="N555" s="1105">
        <v>481546590</v>
      </c>
      <c r="O555" s="1105">
        <v>286087213</v>
      </c>
      <c r="P555" s="1105">
        <v>30101150</v>
      </c>
      <c r="Q555" s="1105">
        <v>155950169</v>
      </c>
      <c r="R555" s="1127" t="s">
        <v>77</v>
      </c>
      <c r="S555" s="1105" t="s">
        <v>66</v>
      </c>
      <c r="T555" s="2685" t="s">
        <v>2435</v>
      </c>
      <c r="U555" s="1110">
        <v>1</v>
      </c>
      <c r="V555" s="1128">
        <v>38376</v>
      </c>
      <c r="W555" s="1129" t="s">
        <v>2209</v>
      </c>
      <c r="X555" s="4421" t="s">
        <v>2019</v>
      </c>
      <c r="Y555" s="1089">
        <f t="shared" ca="1" si="25"/>
        <v>12.905555555555555</v>
      </c>
    </row>
    <row r="556" spans="1:26" ht="14.1" customHeight="1" x14ac:dyDescent="0.25">
      <c r="A556" s="79">
        <v>544</v>
      </c>
      <c r="B556" s="1123" t="s">
        <v>1685</v>
      </c>
      <c r="C556" s="1247" t="s">
        <v>2459</v>
      </c>
      <c r="D556" s="1969" t="s">
        <v>40</v>
      </c>
      <c r="E556" s="2020" t="s">
        <v>2130</v>
      </c>
      <c r="F556" s="1987"/>
      <c r="G556" s="1132"/>
      <c r="H556" s="1132"/>
      <c r="I556" s="1130" t="s">
        <v>454</v>
      </c>
      <c r="J556" s="1073" t="s">
        <v>445</v>
      </c>
      <c r="K556" s="1073" t="s">
        <v>445</v>
      </c>
      <c r="L556" s="1073" t="s">
        <v>445</v>
      </c>
      <c r="M556" s="1073" t="s">
        <v>445</v>
      </c>
      <c r="N556" s="1073" t="s">
        <v>445</v>
      </c>
      <c r="O556" s="1073" t="s">
        <v>445</v>
      </c>
      <c r="P556" s="1073" t="s">
        <v>445</v>
      </c>
      <c r="Q556" s="1073" t="s">
        <v>445</v>
      </c>
      <c r="R556" s="1131" t="s">
        <v>65</v>
      </c>
      <c r="S556" s="1132" t="s">
        <v>66</v>
      </c>
      <c r="T556" s="2685" t="s">
        <v>2435</v>
      </c>
      <c r="U556" s="1133">
        <v>1</v>
      </c>
      <c r="V556" s="1134">
        <v>39690</v>
      </c>
      <c r="W556" s="1135" t="s">
        <v>1693</v>
      </c>
      <c r="X556" s="4422" t="s">
        <v>2019</v>
      </c>
      <c r="Y556" s="1074">
        <f t="shared" ca="1" si="25"/>
        <v>9.3055555555555554</v>
      </c>
      <c r="Z556" s="79">
        <v>544</v>
      </c>
    </row>
    <row r="557" spans="1:26" ht="14.1" customHeight="1" x14ac:dyDescent="0.25">
      <c r="B557" s="1136" t="s">
        <v>1103</v>
      </c>
      <c r="C557" s="1248" t="s">
        <v>540</v>
      </c>
      <c r="D557" s="1970"/>
      <c r="E557" s="2021"/>
      <c r="F557" s="1983"/>
      <c r="G557" s="1138">
        <f>93+247+176+25+24+0+202+398+50+159+104+13+80+39+0+135</f>
        <v>1745</v>
      </c>
      <c r="H557" s="1138"/>
      <c r="I557" s="1137" t="s">
        <v>445</v>
      </c>
      <c r="J557" s="1138" t="s">
        <v>446</v>
      </c>
      <c r="K557" s="1138" t="s">
        <v>445</v>
      </c>
      <c r="L557" s="1138" t="s">
        <v>446</v>
      </c>
      <c r="M557" s="1138">
        <v>581880121</v>
      </c>
      <c r="N557" s="1138" t="s">
        <v>446</v>
      </c>
      <c r="O557" s="1138">
        <v>365813833</v>
      </c>
      <c r="P557" s="1138">
        <v>36900655</v>
      </c>
      <c r="Q557" s="1138">
        <v>196472241</v>
      </c>
      <c r="R557" s="1139" t="s">
        <v>80</v>
      </c>
      <c r="S557" s="1138" t="s">
        <v>66</v>
      </c>
      <c r="T557" s="2688" t="s">
        <v>2435</v>
      </c>
      <c r="U557" s="2779">
        <v>1</v>
      </c>
      <c r="V557" s="1140">
        <v>40011</v>
      </c>
      <c r="W557" s="1141" t="s">
        <v>76</v>
      </c>
      <c r="X557" s="4423" t="s">
        <v>117</v>
      </c>
      <c r="Y557" s="1142">
        <f t="shared" ref="Y557:Y574" ca="1" si="26">YEARFRAC(V557,Y$6)</f>
        <v>8.4250000000000007</v>
      </c>
    </row>
    <row r="558" spans="1:26" ht="14.1" customHeight="1" x14ac:dyDescent="0.2">
      <c r="A558" s="79">
        <v>546</v>
      </c>
      <c r="B558" s="1143" t="s">
        <v>1685</v>
      </c>
      <c r="C558" s="1249" t="s">
        <v>2458</v>
      </c>
      <c r="D558" s="1971" t="s">
        <v>40</v>
      </c>
      <c r="E558" s="2020" t="s">
        <v>2130</v>
      </c>
      <c r="F558" s="1988"/>
      <c r="G558" s="1144"/>
      <c r="H558" s="1144"/>
      <c r="I558" s="1145" t="s">
        <v>454</v>
      </c>
      <c r="J558" s="1144" t="s">
        <v>445</v>
      </c>
      <c r="K558" s="1144" t="s">
        <v>445</v>
      </c>
      <c r="L558" s="1144" t="s">
        <v>445</v>
      </c>
      <c r="M558" s="1144" t="s">
        <v>445</v>
      </c>
      <c r="N558" s="1144" t="s">
        <v>445</v>
      </c>
      <c r="O558" s="1144" t="s">
        <v>445</v>
      </c>
      <c r="P558" s="1144" t="s">
        <v>445</v>
      </c>
      <c r="Q558" s="1144" t="s">
        <v>445</v>
      </c>
      <c r="R558" s="1146" t="s">
        <v>468</v>
      </c>
      <c r="S558" s="1144" t="s">
        <v>66</v>
      </c>
      <c r="T558" s="2689" t="s">
        <v>2435</v>
      </c>
      <c r="U558" s="1147">
        <v>1</v>
      </c>
      <c r="V558" s="1148">
        <v>38844</v>
      </c>
      <c r="W558" s="1149" t="s">
        <v>156</v>
      </c>
      <c r="X558" s="4424" t="s">
        <v>469</v>
      </c>
      <c r="Y558" s="1150">
        <f t="shared" ca="1" si="26"/>
        <v>11.619444444444444</v>
      </c>
      <c r="Z558" s="79">
        <v>546</v>
      </c>
    </row>
    <row r="559" spans="1:26" ht="14.1" customHeight="1" x14ac:dyDescent="0.2">
      <c r="B559" s="1123" t="s">
        <v>1685</v>
      </c>
      <c r="C559" s="1250" t="s">
        <v>687</v>
      </c>
      <c r="D559" s="1965" t="s">
        <v>40</v>
      </c>
      <c r="E559" s="2016" t="s">
        <v>2130</v>
      </c>
      <c r="F559" s="1983"/>
      <c r="G559" s="1132"/>
      <c r="H559" s="1132"/>
      <c r="I559" s="1151" t="s">
        <v>454</v>
      </c>
      <c r="J559" s="1152" t="s">
        <v>445</v>
      </c>
      <c r="K559" s="1152" t="s">
        <v>445</v>
      </c>
      <c r="L559" s="1153" t="s">
        <v>445</v>
      </c>
      <c r="M559" s="1152" t="s">
        <v>445</v>
      </c>
      <c r="N559" s="1153" t="s">
        <v>445</v>
      </c>
      <c r="O559" s="1132" t="s">
        <v>445</v>
      </c>
      <c r="P559" s="1152" t="s">
        <v>445</v>
      </c>
      <c r="Q559" s="1152" t="s">
        <v>445</v>
      </c>
      <c r="R559" s="1154" t="s">
        <v>688</v>
      </c>
      <c r="S559" s="1152" t="s">
        <v>131</v>
      </c>
      <c r="T559" s="2683" t="s">
        <v>2435</v>
      </c>
      <c r="U559" s="1133">
        <v>1</v>
      </c>
      <c r="V559" s="1134">
        <v>36034</v>
      </c>
      <c r="W559" s="1155" t="s">
        <v>76</v>
      </c>
      <c r="X559" s="4425" t="s">
        <v>474</v>
      </c>
      <c r="Y559" s="1074">
        <f t="shared" ca="1" si="26"/>
        <v>19.31388888888889</v>
      </c>
    </row>
    <row r="560" spans="1:26" ht="14.1" customHeight="1" x14ac:dyDescent="0.2">
      <c r="A560" s="79">
        <v>548</v>
      </c>
      <c r="B560" s="1123" t="s">
        <v>1685</v>
      </c>
      <c r="C560" s="1232" t="s">
        <v>695</v>
      </c>
      <c r="D560" s="1965" t="s">
        <v>40</v>
      </c>
      <c r="E560" s="2020" t="s">
        <v>2130</v>
      </c>
      <c r="F560" s="1989"/>
      <c r="G560" s="1132"/>
      <c r="H560" s="1132"/>
      <c r="I560" s="1130" t="s">
        <v>454</v>
      </c>
      <c r="J560" s="1132" t="s">
        <v>445</v>
      </c>
      <c r="K560" s="1132" t="s">
        <v>445</v>
      </c>
      <c r="L560" s="1132" t="s">
        <v>445</v>
      </c>
      <c r="M560" s="1132" t="s">
        <v>445</v>
      </c>
      <c r="N560" s="1132" t="s">
        <v>445</v>
      </c>
      <c r="O560" s="1132" t="s">
        <v>445</v>
      </c>
      <c r="P560" s="1132" t="s">
        <v>445</v>
      </c>
      <c r="Q560" s="1132" t="s">
        <v>445</v>
      </c>
      <c r="R560" s="1154" t="s">
        <v>688</v>
      </c>
      <c r="S560" s="1152" t="s">
        <v>66</v>
      </c>
      <c r="T560" s="2683" t="s">
        <v>2435</v>
      </c>
      <c r="U560" s="1133">
        <v>1</v>
      </c>
      <c r="V560" s="1156">
        <v>38292</v>
      </c>
      <c r="W560" s="1155" t="s">
        <v>76</v>
      </c>
      <c r="X560" s="4425" t="s">
        <v>474</v>
      </c>
      <c r="Y560" s="1074">
        <f t="shared" ca="1" si="26"/>
        <v>13.136111111111111</v>
      </c>
      <c r="Z560" s="79">
        <v>548</v>
      </c>
    </row>
    <row r="561" spans="1:26" ht="14.1" customHeight="1" x14ac:dyDescent="0.25">
      <c r="B561" s="1157" t="s">
        <v>1685</v>
      </c>
      <c r="C561" s="1251" t="s">
        <v>2450</v>
      </c>
      <c r="D561" s="1972"/>
      <c r="E561" s="2014"/>
      <c r="F561" s="1980"/>
      <c r="G561" s="1159"/>
      <c r="H561" s="1159"/>
      <c r="I561" s="1158" t="s">
        <v>454</v>
      </c>
      <c r="J561" s="1159" t="s">
        <v>445</v>
      </c>
      <c r="K561" s="1159" t="s">
        <v>445</v>
      </c>
      <c r="L561" s="1159" t="s">
        <v>445</v>
      </c>
      <c r="M561" s="1159" t="s">
        <v>445</v>
      </c>
      <c r="N561" s="1159" t="s">
        <v>445</v>
      </c>
      <c r="O561" s="1159" t="s">
        <v>445</v>
      </c>
      <c r="P561" s="1159" t="s">
        <v>445</v>
      </c>
      <c r="Q561" s="1159" t="s">
        <v>445</v>
      </c>
      <c r="R561" s="1160" t="s">
        <v>470</v>
      </c>
      <c r="S561" s="1159" t="s">
        <v>131</v>
      </c>
      <c r="T561" s="2690" t="s">
        <v>2435</v>
      </c>
      <c r="U561" s="1161">
        <v>1</v>
      </c>
      <c r="V561" s="1162">
        <v>38044</v>
      </c>
      <c r="W561" s="1163" t="s">
        <v>71</v>
      </c>
      <c r="X561" s="4426" t="s">
        <v>134</v>
      </c>
      <c r="Y561" s="1142">
        <f t="shared" ca="1" si="26"/>
        <v>13.813888888888888</v>
      </c>
    </row>
    <row r="562" spans="1:26" ht="14.1" customHeight="1" x14ac:dyDescent="0.25">
      <c r="A562" s="79">
        <v>550</v>
      </c>
      <c r="B562" s="1164" t="s">
        <v>1103</v>
      </c>
      <c r="C562" s="1252" t="s">
        <v>2452</v>
      </c>
      <c r="D562" s="1973"/>
      <c r="E562" s="2020"/>
      <c r="F562" s="1989" t="s">
        <v>450</v>
      </c>
      <c r="G562" s="1168"/>
      <c r="H562" s="1168"/>
      <c r="I562" s="1165">
        <v>135653442</v>
      </c>
      <c r="J562" s="1166">
        <v>571436508</v>
      </c>
      <c r="K562" s="1167" t="s">
        <v>1204</v>
      </c>
      <c r="L562" s="1166">
        <v>388737537</v>
      </c>
      <c r="M562" s="1166">
        <v>587377858</v>
      </c>
      <c r="N562" s="1166">
        <v>488478127</v>
      </c>
      <c r="O562" s="1168">
        <v>347018401</v>
      </c>
      <c r="P562" s="1166">
        <v>55423479</v>
      </c>
      <c r="Q562" s="1166">
        <v>325007476</v>
      </c>
      <c r="R562" s="1169" t="s">
        <v>146</v>
      </c>
      <c r="S562" s="1166" t="s">
        <v>66</v>
      </c>
      <c r="T562" s="2691" t="s">
        <v>2435</v>
      </c>
      <c r="U562" s="1170">
        <v>1</v>
      </c>
      <c r="V562" s="1171">
        <v>39527</v>
      </c>
      <c r="W562" s="1172" t="s">
        <v>74</v>
      </c>
      <c r="X562" s="4427" t="s">
        <v>106</v>
      </c>
      <c r="Y562" s="1150">
        <f t="shared" ca="1" si="26"/>
        <v>9.75</v>
      </c>
      <c r="Z562" s="79">
        <v>550</v>
      </c>
    </row>
    <row r="563" spans="1:26" ht="14.1" customHeight="1" x14ac:dyDescent="0.25">
      <c r="B563" s="1123" t="s">
        <v>1685</v>
      </c>
      <c r="C563" s="1245" t="s">
        <v>1680</v>
      </c>
      <c r="D563" s="1969"/>
      <c r="E563" s="2016"/>
      <c r="F563" s="1983"/>
      <c r="G563" s="1173">
        <f>61+60+0+176+408+293+116+26+96</f>
        <v>1236</v>
      </c>
      <c r="H563" s="1173"/>
      <c r="I563" s="1130">
        <v>113862809</v>
      </c>
      <c r="J563" s="1152" t="s">
        <v>445</v>
      </c>
      <c r="K563" s="1132" t="s">
        <v>446</v>
      </c>
      <c r="L563" s="1132">
        <v>318008548</v>
      </c>
      <c r="M563" s="1132">
        <v>588216481</v>
      </c>
      <c r="N563" s="1132">
        <v>485808669</v>
      </c>
      <c r="O563" s="1132">
        <v>324974903</v>
      </c>
      <c r="P563" s="1132">
        <v>43639708</v>
      </c>
      <c r="Q563" s="1132">
        <v>215561133</v>
      </c>
      <c r="R563" s="1154" t="s">
        <v>128</v>
      </c>
      <c r="S563" s="1152" t="s">
        <v>66</v>
      </c>
      <c r="T563" s="2683" t="s">
        <v>2435</v>
      </c>
      <c r="U563" s="1133">
        <v>1</v>
      </c>
      <c r="V563" s="1156">
        <v>40040</v>
      </c>
      <c r="W563" s="1155" t="s">
        <v>98</v>
      </c>
      <c r="X563" s="4425" t="s">
        <v>129</v>
      </c>
      <c r="Y563" s="1074">
        <f t="shared" ca="1" si="26"/>
        <v>8.3472222222222214</v>
      </c>
    </row>
    <row r="564" spans="1:26" ht="14.1" customHeight="1" x14ac:dyDescent="0.25">
      <c r="A564" s="79">
        <v>552</v>
      </c>
      <c r="B564" s="1123" t="s">
        <v>1685</v>
      </c>
      <c r="C564" s="1247" t="s">
        <v>2451</v>
      </c>
      <c r="D564" s="1969"/>
      <c r="E564" s="2016" t="s">
        <v>2130</v>
      </c>
      <c r="F564" s="1983"/>
      <c r="G564" s="1105"/>
      <c r="H564" s="1105"/>
      <c r="I564" s="1103" t="s">
        <v>445</v>
      </c>
      <c r="J564" s="1104">
        <v>84645955</v>
      </c>
      <c r="K564" s="1104" t="s">
        <v>445</v>
      </c>
      <c r="L564" s="1104">
        <v>7000000000</v>
      </c>
      <c r="M564" s="1104">
        <v>589841217</v>
      </c>
      <c r="N564" s="1104" t="s">
        <v>446</v>
      </c>
      <c r="O564" s="1105">
        <v>307254331</v>
      </c>
      <c r="P564" s="1104">
        <v>33230017</v>
      </c>
      <c r="Q564" s="1104">
        <v>169150024</v>
      </c>
      <c r="R564" s="1109" t="s">
        <v>114</v>
      </c>
      <c r="S564" s="1104" t="s">
        <v>66</v>
      </c>
      <c r="T564" s="2683" t="s">
        <v>2435</v>
      </c>
      <c r="U564" s="1110">
        <v>1</v>
      </c>
      <c r="V564" s="1111">
        <v>37834</v>
      </c>
      <c r="W564" s="1174" t="s">
        <v>63</v>
      </c>
      <c r="X564" s="4416" t="s">
        <v>115</v>
      </c>
      <c r="Y564" s="1089">
        <f t="shared" ca="1" si="26"/>
        <v>14.386111111111111</v>
      </c>
      <c r="Z564" s="79">
        <v>552</v>
      </c>
    </row>
    <row r="565" spans="1:26" ht="14.1" customHeight="1" x14ac:dyDescent="0.25">
      <c r="B565" s="1175" t="s">
        <v>1685</v>
      </c>
      <c r="C565" s="1253" t="s">
        <v>471</v>
      </c>
      <c r="D565" s="1974"/>
      <c r="E565" s="2022"/>
      <c r="F565" s="1984"/>
      <c r="G565" s="1177"/>
      <c r="H565" s="1177"/>
      <c r="I565" s="1115" t="s">
        <v>454</v>
      </c>
      <c r="J565" s="1091" t="s">
        <v>445</v>
      </c>
      <c r="K565" s="1091" t="s">
        <v>445</v>
      </c>
      <c r="L565" s="1091" t="s">
        <v>445</v>
      </c>
      <c r="M565" s="1091" t="s">
        <v>445</v>
      </c>
      <c r="N565" s="1091" t="s">
        <v>445</v>
      </c>
      <c r="O565" s="1091" t="s">
        <v>445</v>
      </c>
      <c r="P565" s="1091" t="s">
        <v>445</v>
      </c>
      <c r="Q565" s="1091" t="s">
        <v>445</v>
      </c>
      <c r="R565" s="1176" t="s">
        <v>472</v>
      </c>
      <c r="S565" s="1177" t="s">
        <v>131</v>
      </c>
      <c r="T565" s="2692" t="s">
        <v>2435</v>
      </c>
      <c r="U565" s="1178">
        <v>1</v>
      </c>
      <c r="V565" s="1179">
        <v>35368</v>
      </c>
      <c r="W565" s="1180" t="s">
        <v>63</v>
      </c>
      <c r="X565" s="4428" t="s">
        <v>473</v>
      </c>
      <c r="Y565" s="1092">
        <f t="shared" ca="1" si="26"/>
        <v>21.138888888888889</v>
      </c>
    </row>
    <row r="566" spans="1:26" ht="14.1" customHeight="1" x14ac:dyDescent="0.25">
      <c r="A566" s="79">
        <v>554</v>
      </c>
      <c r="B566" s="1094" t="s">
        <v>1685</v>
      </c>
      <c r="C566" s="1244" t="s">
        <v>2453</v>
      </c>
      <c r="D566" s="1968"/>
      <c r="E566" s="2017"/>
      <c r="F566" s="1990"/>
      <c r="G566" s="1095"/>
      <c r="H566" s="1095"/>
      <c r="I566" s="1126" t="s">
        <v>454</v>
      </c>
      <c r="J566" s="1095" t="s">
        <v>445</v>
      </c>
      <c r="K566" s="1095" t="s">
        <v>445</v>
      </c>
      <c r="L566" s="1095" t="s">
        <v>445</v>
      </c>
      <c r="M566" s="1095" t="s">
        <v>445</v>
      </c>
      <c r="N566" s="1095" t="s">
        <v>445</v>
      </c>
      <c r="O566" s="1095" t="s">
        <v>445</v>
      </c>
      <c r="P566" s="1095" t="s">
        <v>445</v>
      </c>
      <c r="Q566" s="1095" t="s">
        <v>445</v>
      </c>
      <c r="R566" s="1096" t="s">
        <v>61</v>
      </c>
      <c r="S566" s="1095" t="s">
        <v>131</v>
      </c>
      <c r="T566" s="2682" t="s">
        <v>2435</v>
      </c>
      <c r="U566" s="1097">
        <v>1</v>
      </c>
      <c r="V566" s="1098">
        <v>36346</v>
      </c>
      <c r="W566" s="1099" t="s">
        <v>63</v>
      </c>
      <c r="X566" s="4414" t="s">
        <v>474</v>
      </c>
      <c r="Y566" s="1082">
        <f t="shared" ca="1" si="26"/>
        <v>18.458333333333332</v>
      </c>
      <c r="Z566" s="79">
        <v>554</v>
      </c>
    </row>
    <row r="567" spans="1:26" ht="14.1" customHeight="1" x14ac:dyDescent="0.2">
      <c r="B567" s="1123" t="s">
        <v>1685</v>
      </c>
      <c r="C567" s="1254" t="s">
        <v>2457</v>
      </c>
      <c r="D567" s="1964" t="s">
        <v>40</v>
      </c>
      <c r="E567" s="2016" t="s">
        <v>2130</v>
      </c>
      <c r="F567" s="1982"/>
      <c r="G567" s="1105"/>
      <c r="H567" s="1105"/>
      <c r="I567" s="1083" t="s">
        <v>454</v>
      </c>
      <c r="J567" s="1105" t="s">
        <v>445</v>
      </c>
      <c r="K567" s="1105" t="s">
        <v>445</v>
      </c>
      <c r="L567" s="1105" t="s">
        <v>445</v>
      </c>
      <c r="M567" s="1084" t="s">
        <v>445</v>
      </c>
      <c r="N567" s="1105" t="s">
        <v>445</v>
      </c>
      <c r="O567" s="1105" t="s">
        <v>445</v>
      </c>
      <c r="P567" s="1105" t="s">
        <v>445</v>
      </c>
      <c r="Q567" s="1105" t="s">
        <v>445</v>
      </c>
      <c r="R567" s="1127" t="s">
        <v>475</v>
      </c>
      <c r="S567" s="1105" t="s">
        <v>131</v>
      </c>
      <c r="T567" s="2685" t="s">
        <v>2435</v>
      </c>
      <c r="U567" s="1110">
        <v>1</v>
      </c>
      <c r="V567" s="1128">
        <v>33348</v>
      </c>
      <c r="W567" s="1129" t="s">
        <v>76</v>
      </c>
      <c r="X567" s="4421" t="s">
        <v>371</v>
      </c>
      <c r="Y567" s="1089">
        <f t="shared" ca="1" si="26"/>
        <v>26.666666666666668</v>
      </c>
    </row>
    <row r="568" spans="1:26" ht="14.1" customHeight="1" x14ac:dyDescent="0.25">
      <c r="A568" s="79">
        <v>556</v>
      </c>
      <c r="B568" s="1181" t="s">
        <v>1103</v>
      </c>
      <c r="C568" s="1255" t="s">
        <v>629</v>
      </c>
      <c r="D568" s="1975"/>
      <c r="E568" s="2023"/>
      <c r="F568" s="1982"/>
      <c r="G568" s="1183"/>
      <c r="H568" s="1183"/>
      <c r="I568" s="1108" t="s">
        <v>454</v>
      </c>
      <c r="J568" s="1084" t="s">
        <v>445</v>
      </c>
      <c r="K568" s="1084" t="s">
        <v>445</v>
      </c>
      <c r="L568" s="1122" t="s">
        <v>1204</v>
      </c>
      <c r="M568" s="1122" t="s">
        <v>1204</v>
      </c>
      <c r="N568" s="1084" t="s">
        <v>445</v>
      </c>
      <c r="O568" s="1122" t="s">
        <v>1204</v>
      </c>
      <c r="P568" s="1122" t="s">
        <v>1204</v>
      </c>
      <c r="Q568" s="1084" t="s">
        <v>445</v>
      </c>
      <c r="R568" s="1182" t="s">
        <v>102</v>
      </c>
      <c r="S568" s="1183" t="s">
        <v>66</v>
      </c>
      <c r="T568" s="2693" t="s">
        <v>2435</v>
      </c>
      <c r="U568" s="2778">
        <v>8</v>
      </c>
      <c r="V568" s="1184">
        <v>39203</v>
      </c>
      <c r="W568" s="1185" t="s">
        <v>76</v>
      </c>
      <c r="X568" s="4429" t="s">
        <v>476</v>
      </c>
      <c r="Y568" s="1089">
        <f t="shared" ca="1" si="26"/>
        <v>10.636111111111111</v>
      </c>
      <c r="Z568" s="79">
        <v>556</v>
      </c>
    </row>
    <row r="569" spans="1:26" ht="14.1" customHeight="1" x14ac:dyDescent="0.25">
      <c r="B569" s="1186" t="s">
        <v>1103</v>
      </c>
      <c r="C569" s="1256" t="s">
        <v>2461</v>
      </c>
      <c r="D569" s="1967"/>
      <c r="E569" s="2019"/>
      <c r="F569" s="1985"/>
      <c r="G569" s="1115">
        <f>183+806+2099+61+278+262+1031+1128+153+50+48+274+355+69+220+2065+534</f>
        <v>9616</v>
      </c>
      <c r="H569" s="1115"/>
      <c r="I569" s="1125" t="s">
        <v>445</v>
      </c>
      <c r="J569" s="1115" t="s">
        <v>445</v>
      </c>
      <c r="K569" s="1114" t="s">
        <v>445</v>
      </c>
      <c r="L569" s="1187" t="s">
        <v>1204</v>
      </c>
      <c r="M569" s="1187" t="s">
        <v>1204</v>
      </c>
      <c r="N569" s="1187" t="s">
        <v>628</v>
      </c>
      <c r="O569" s="1187" t="s">
        <v>1204</v>
      </c>
      <c r="P569" s="1187" t="s">
        <v>1204</v>
      </c>
      <c r="Q569" s="1115">
        <v>213625692</v>
      </c>
      <c r="R569" s="1188" t="s">
        <v>102</v>
      </c>
      <c r="S569" s="1115" t="s">
        <v>66</v>
      </c>
      <c r="T569" s="2694" t="s">
        <v>2435</v>
      </c>
      <c r="U569" s="2777">
        <v>8</v>
      </c>
      <c r="V569" s="1189">
        <v>39385</v>
      </c>
      <c r="W569" s="1190" t="s">
        <v>76</v>
      </c>
      <c r="X569" s="4430" t="s">
        <v>103</v>
      </c>
      <c r="Y569" s="1092">
        <f t="shared" ca="1" si="26"/>
        <v>10.138888888888889</v>
      </c>
    </row>
    <row r="570" spans="1:26" ht="14.1" customHeight="1" x14ac:dyDescent="0.25">
      <c r="A570" s="79">
        <v>558</v>
      </c>
      <c r="B570" s="1093" t="s">
        <v>1103</v>
      </c>
      <c r="C570" s="1242" t="s">
        <v>2454</v>
      </c>
      <c r="D570" s="1976"/>
      <c r="E570" s="2017"/>
      <c r="F570" s="1981"/>
      <c r="G570" s="1095"/>
      <c r="H570" s="1095"/>
      <c r="I570" s="1126" t="s">
        <v>454</v>
      </c>
      <c r="J570" s="1095" t="s">
        <v>445</v>
      </c>
      <c r="K570" s="1095" t="s">
        <v>445</v>
      </c>
      <c r="L570" s="1095" t="s">
        <v>445</v>
      </c>
      <c r="M570" s="1095" t="s">
        <v>445</v>
      </c>
      <c r="N570" s="1095" t="s">
        <v>445</v>
      </c>
      <c r="O570" s="1095" t="s">
        <v>445</v>
      </c>
      <c r="P570" s="1095" t="s">
        <v>445</v>
      </c>
      <c r="Q570" s="1095" t="s">
        <v>445</v>
      </c>
      <c r="R570" s="1096" t="s">
        <v>61</v>
      </c>
      <c r="S570" s="1095" t="s">
        <v>66</v>
      </c>
      <c r="T570" s="2682" t="s">
        <v>2435</v>
      </c>
      <c r="U570" s="1097">
        <v>1</v>
      </c>
      <c r="V570" s="1098">
        <v>38335</v>
      </c>
      <c r="W570" s="1099" t="s">
        <v>63</v>
      </c>
      <c r="X570" s="4431" t="s">
        <v>477</v>
      </c>
      <c r="Y570" s="1082">
        <f t="shared" ca="1" si="26"/>
        <v>13.016666666666667</v>
      </c>
      <c r="Z570" s="79">
        <v>558</v>
      </c>
    </row>
    <row r="571" spans="1:26" ht="14.1" customHeight="1" x14ac:dyDescent="0.25">
      <c r="B571" s="1186" t="s">
        <v>1103</v>
      </c>
      <c r="C571" s="1257" t="s">
        <v>1681</v>
      </c>
      <c r="D571" s="1967"/>
      <c r="E571" s="2019"/>
      <c r="F571" s="1985"/>
      <c r="G571" s="1115">
        <f>952+1301+0+2686+1522+3699+976+466+1899</f>
        <v>13501</v>
      </c>
      <c r="H571" s="1115"/>
      <c r="I571" s="1115">
        <v>83024045</v>
      </c>
      <c r="J571" s="1115">
        <v>347905088</v>
      </c>
      <c r="K571" s="1115" t="s">
        <v>446</v>
      </c>
      <c r="L571" s="1115">
        <v>295798708</v>
      </c>
      <c r="M571" s="1115">
        <v>583831264</v>
      </c>
      <c r="N571" s="1115">
        <v>482365534</v>
      </c>
      <c r="O571" s="1115">
        <v>264284049</v>
      </c>
      <c r="P571" s="1115">
        <v>36083605</v>
      </c>
      <c r="Q571" s="1115">
        <v>202398726</v>
      </c>
      <c r="R571" s="1116" t="s">
        <v>61</v>
      </c>
      <c r="S571" s="1114" t="s">
        <v>66</v>
      </c>
      <c r="T571" s="2686" t="s">
        <v>2435</v>
      </c>
      <c r="U571" s="1191">
        <v>1</v>
      </c>
      <c r="V571" s="1117">
        <v>38567</v>
      </c>
      <c r="W571" s="1118" t="s">
        <v>63</v>
      </c>
      <c r="X571" s="4432" t="s">
        <v>78</v>
      </c>
      <c r="Y571" s="1092">
        <f t="shared" ca="1" si="26"/>
        <v>12.380555555555556</v>
      </c>
    </row>
    <row r="572" spans="1:26" ht="14.1" customHeight="1" x14ac:dyDescent="0.25">
      <c r="A572" s="79">
        <v>560</v>
      </c>
      <c r="B572" s="1192" t="s">
        <v>1103</v>
      </c>
      <c r="C572" s="1258" t="s">
        <v>2455</v>
      </c>
      <c r="D572" s="1977"/>
      <c r="E572" s="2015"/>
      <c r="F572" s="1991"/>
      <c r="G572" s="1076"/>
      <c r="H572" s="1076"/>
      <c r="I572" s="1107" t="s">
        <v>445</v>
      </c>
      <c r="J572" s="1078" t="s">
        <v>445</v>
      </c>
      <c r="K572" s="1076" t="s">
        <v>445</v>
      </c>
      <c r="L572" s="1076" t="s">
        <v>446</v>
      </c>
      <c r="M572" s="1076">
        <v>580271322</v>
      </c>
      <c r="N572" s="1076" t="s">
        <v>445</v>
      </c>
      <c r="O572" s="1076">
        <v>245014676</v>
      </c>
      <c r="P572" s="1076">
        <f>27379874+136</f>
        <v>27380010</v>
      </c>
      <c r="Q572" s="1078">
        <v>154630521</v>
      </c>
      <c r="R572" s="1077" t="s">
        <v>61</v>
      </c>
      <c r="S572" s="1078" t="s">
        <v>66</v>
      </c>
      <c r="T572" s="2695" t="s">
        <v>2435</v>
      </c>
      <c r="U572" s="1079">
        <v>1</v>
      </c>
      <c r="V572" s="1080">
        <v>38777</v>
      </c>
      <c r="W572" s="1081" t="s">
        <v>63</v>
      </c>
      <c r="X572" s="4419" t="s">
        <v>64</v>
      </c>
      <c r="Y572" s="1082">
        <f t="shared" ca="1" si="26"/>
        <v>11.802777777777777</v>
      </c>
      <c r="Z572" s="79">
        <v>560</v>
      </c>
    </row>
    <row r="573" spans="1:26" ht="14.1" customHeight="1" x14ac:dyDescent="0.25">
      <c r="B573" s="1072" t="s">
        <v>1103</v>
      </c>
      <c r="C573" s="1241" t="s">
        <v>2456</v>
      </c>
      <c r="D573" s="1962"/>
      <c r="E573" s="2014"/>
      <c r="F573" s="1980"/>
      <c r="G573" s="1084"/>
      <c r="H573" s="1084"/>
      <c r="I573" s="1083" t="s">
        <v>454</v>
      </c>
      <c r="J573" s="1084" t="s">
        <v>445</v>
      </c>
      <c r="K573" s="1084" t="s">
        <v>445</v>
      </c>
      <c r="L573" s="1084" t="s">
        <v>445</v>
      </c>
      <c r="M573" s="1084" t="s">
        <v>445</v>
      </c>
      <c r="N573" s="1084" t="s">
        <v>445</v>
      </c>
      <c r="O573" s="1084" t="s">
        <v>445</v>
      </c>
      <c r="P573" s="1084" t="s">
        <v>445</v>
      </c>
      <c r="Q573" s="1084" t="s">
        <v>445</v>
      </c>
      <c r="R573" s="1085" t="s">
        <v>61</v>
      </c>
      <c r="S573" s="1084" t="s">
        <v>66</v>
      </c>
      <c r="T573" s="2684" t="s">
        <v>2435</v>
      </c>
      <c r="U573" s="1086">
        <v>1</v>
      </c>
      <c r="V573" s="1087">
        <v>38709</v>
      </c>
      <c r="W573" s="1088" t="s">
        <v>63</v>
      </c>
      <c r="X573" s="4433" t="s">
        <v>478</v>
      </c>
      <c r="Y573" s="1089">
        <f t="shared" ca="1" si="26"/>
        <v>11.991666666666667</v>
      </c>
    </row>
    <row r="574" spans="1:26" ht="14.1" customHeight="1" thickBot="1" x14ac:dyDescent="0.3">
      <c r="A574" s="79">
        <v>562</v>
      </c>
      <c r="B574" s="1193" t="s">
        <v>1103</v>
      </c>
      <c r="C574" s="1259" t="s">
        <v>714</v>
      </c>
      <c r="D574" s="1978"/>
      <c r="E574" s="2024" t="s">
        <v>2130</v>
      </c>
      <c r="F574" s="1992"/>
      <c r="G574" s="1195"/>
      <c r="H574" s="1195"/>
      <c r="I574" s="1194" t="s">
        <v>445</v>
      </c>
      <c r="J574" s="1195">
        <v>132470243</v>
      </c>
      <c r="K574" s="1195" t="s">
        <v>445</v>
      </c>
      <c r="L574" s="1195" t="s">
        <v>446</v>
      </c>
      <c r="M574" s="1196" t="s">
        <v>445</v>
      </c>
      <c r="N574" s="1195" t="s">
        <v>445</v>
      </c>
      <c r="O574" s="1195" t="s">
        <v>445</v>
      </c>
      <c r="P574" s="1195" t="s">
        <v>445</v>
      </c>
      <c r="Q574" s="1195" t="s">
        <v>445</v>
      </c>
      <c r="R574" s="1197" t="s">
        <v>479</v>
      </c>
      <c r="S574" s="1195" t="s">
        <v>66</v>
      </c>
      <c r="T574" s="1195" t="s">
        <v>2435</v>
      </c>
      <c r="U574" s="1196">
        <v>1</v>
      </c>
      <c r="V574" s="1198">
        <v>36305</v>
      </c>
      <c r="W574" s="1199" t="s">
        <v>74</v>
      </c>
      <c r="X574" s="4434" t="s">
        <v>1317</v>
      </c>
      <c r="Y574" s="1200">
        <f t="shared" ca="1" si="26"/>
        <v>18.569444444444443</v>
      </c>
      <c r="Z574" s="79">
        <v>562</v>
      </c>
    </row>
    <row r="575" spans="1:26" ht="12" customHeight="1" thickTop="1" x14ac:dyDescent="0.25">
      <c r="C575" s="1800"/>
    </row>
    <row r="576" spans="1:26" ht="14.1" customHeight="1" x14ac:dyDescent="0.25">
      <c r="A576" s="79"/>
      <c r="C576" s="1201" t="s">
        <v>1518</v>
      </c>
      <c r="E576" s="3523" t="s">
        <v>1685</v>
      </c>
      <c r="F576" s="3915" t="s">
        <v>2767</v>
      </c>
      <c r="G576" s="3914"/>
      <c r="H576" s="477" t="s">
        <v>2768</v>
      </c>
      <c r="Z576" s="79"/>
    </row>
    <row r="577" spans="1:26" ht="14.1" customHeight="1" x14ac:dyDescent="0.25">
      <c r="C577" s="1202" t="s">
        <v>1519</v>
      </c>
      <c r="E577" s="3523" t="s">
        <v>1685</v>
      </c>
      <c r="F577" s="141" t="s">
        <v>2740</v>
      </c>
    </row>
    <row r="578" spans="1:26" ht="14.1" customHeight="1" x14ac:dyDescent="0.25">
      <c r="A578" s="79"/>
      <c r="C578" s="1203" t="s">
        <v>1520</v>
      </c>
      <c r="E578" s="3523" t="s">
        <v>1685</v>
      </c>
      <c r="F578" s="1330" t="s">
        <v>2741</v>
      </c>
      <c r="Z578" s="79"/>
    </row>
    <row r="579" spans="1:26" ht="14.1" customHeight="1" x14ac:dyDescent="0.25">
      <c r="C579" s="1204" t="s">
        <v>1521</v>
      </c>
      <c r="E579" s="3523" t="s">
        <v>1685</v>
      </c>
      <c r="F579" s="142" t="s">
        <v>2743</v>
      </c>
    </row>
    <row r="580" spans="1:26" ht="14.1" customHeight="1" x14ac:dyDescent="0.25">
      <c r="C580" s="1205"/>
      <c r="E580" s="3523" t="s">
        <v>1685</v>
      </c>
      <c r="F580" s="140" t="s">
        <v>2739</v>
      </c>
    </row>
    <row r="581" spans="1:26" ht="14.1" customHeight="1" x14ac:dyDescent="0.25">
      <c r="C581" s="1205"/>
      <c r="E581" s="3523" t="s">
        <v>1685</v>
      </c>
      <c r="F581" s="142" t="s">
        <v>2742</v>
      </c>
    </row>
    <row r="582" spans="1:26" ht="14.1" customHeight="1" x14ac:dyDescent="0.25">
      <c r="A582" s="79"/>
      <c r="C582" s="142"/>
      <c r="F582" s="142"/>
      <c r="Z582" s="79"/>
    </row>
    <row r="583" spans="1:26" ht="12.75" hidden="1" customHeight="1" x14ac:dyDescent="0.25">
      <c r="C583" s="142" t="s">
        <v>1055</v>
      </c>
    </row>
    <row r="584" spans="1:26" ht="12.75" hidden="1" customHeight="1" x14ac:dyDescent="0.25">
      <c r="A584" s="79">
        <v>434</v>
      </c>
      <c r="C584" s="140" t="s">
        <v>1597</v>
      </c>
      <c r="Z584" s="79">
        <v>434</v>
      </c>
    </row>
    <row r="585" spans="1:26" ht="12.75" hidden="1" customHeight="1" x14ac:dyDescent="0.25"/>
    <row r="586" spans="1:26" ht="12.75" hidden="1" customHeight="1" x14ac:dyDescent="0.25">
      <c r="A586" s="79">
        <v>436</v>
      </c>
      <c r="Z586" s="79">
        <v>436</v>
      </c>
    </row>
    <row r="587" spans="1:26" ht="12.75" hidden="1" customHeight="1" x14ac:dyDescent="0.25"/>
    <row r="588" spans="1:26" ht="12.75" hidden="1" customHeight="1" x14ac:dyDescent="0.25">
      <c r="A588" s="79">
        <v>438</v>
      </c>
      <c r="Z588" s="79">
        <v>438</v>
      </c>
    </row>
    <row r="589" spans="1:26" ht="12.75" hidden="1" customHeight="1" x14ac:dyDescent="0.25"/>
    <row r="590" spans="1:26" ht="12.75" hidden="1" customHeight="1" x14ac:dyDescent="0.25">
      <c r="A590" s="79">
        <v>440</v>
      </c>
      <c r="Z590" s="79">
        <v>440</v>
      </c>
    </row>
    <row r="591" spans="1:26" ht="12.75" hidden="1" customHeight="1" x14ac:dyDescent="0.25"/>
    <row r="592" spans="1:26" ht="12.75" hidden="1" customHeight="1" x14ac:dyDescent="0.25">
      <c r="A592" s="79">
        <v>442</v>
      </c>
      <c r="Z592" s="79">
        <v>442</v>
      </c>
    </row>
    <row r="593" spans="1:26" ht="12.75" hidden="1" customHeight="1" x14ac:dyDescent="0.25"/>
    <row r="594" spans="1:26" ht="12.75" hidden="1" customHeight="1" x14ac:dyDescent="0.25">
      <c r="A594" s="79">
        <v>444</v>
      </c>
      <c r="Z594" s="79">
        <v>444</v>
      </c>
    </row>
    <row r="595" spans="1:26" ht="12.75" hidden="1" customHeight="1" x14ac:dyDescent="0.25">
      <c r="A595" s="79"/>
      <c r="Z595" s="79"/>
    </row>
    <row r="596" spans="1:26" ht="12.75" hidden="1" customHeight="1" x14ac:dyDescent="0.25">
      <c r="A596" s="79">
        <v>446</v>
      </c>
      <c r="Z596" s="79">
        <v>446</v>
      </c>
    </row>
    <row r="597" spans="1:26" ht="12.75" hidden="1" customHeight="1" x14ac:dyDescent="0.25"/>
    <row r="598" spans="1:26" ht="12.75" hidden="1" customHeight="1" x14ac:dyDescent="0.25">
      <c r="A598" s="79">
        <v>448</v>
      </c>
      <c r="Z598" s="79">
        <v>448</v>
      </c>
    </row>
    <row r="599" spans="1:26" ht="12.75" hidden="1" customHeight="1" x14ac:dyDescent="0.25"/>
    <row r="600" spans="1:26" ht="12.75" hidden="1" customHeight="1" x14ac:dyDescent="0.25">
      <c r="A600" s="79">
        <v>450</v>
      </c>
      <c r="Z600" s="79">
        <v>450</v>
      </c>
    </row>
    <row r="601" spans="1:26" ht="12.75" hidden="1" customHeight="1" x14ac:dyDescent="0.25">
      <c r="A601" s="79"/>
      <c r="Z601" s="79"/>
    </row>
    <row r="602" spans="1:26" ht="12.75" hidden="1" customHeight="1" x14ac:dyDescent="0.25">
      <c r="A602" s="79">
        <v>452</v>
      </c>
      <c r="Z602" s="79">
        <v>452</v>
      </c>
    </row>
    <row r="603" spans="1:26" ht="12.75" hidden="1" customHeight="1" x14ac:dyDescent="0.25">
      <c r="A603" s="79"/>
      <c r="Z603" s="79"/>
    </row>
    <row r="604" spans="1:26" ht="12.75" hidden="1" customHeight="1" x14ac:dyDescent="0.25">
      <c r="A604" s="79">
        <v>454</v>
      </c>
      <c r="Z604" s="79">
        <v>454</v>
      </c>
    </row>
    <row r="605" spans="1:26" ht="12.75" hidden="1" customHeight="1" x14ac:dyDescent="0.25"/>
    <row r="606" spans="1:26" ht="12.75" hidden="1" customHeight="1" x14ac:dyDescent="0.25">
      <c r="A606" s="79">
        <v>456</v>
      </c>
      <c r="Z606" s="79">
        <v>456</v>
      </c>
    </row>
    <row r="607" spans="1:26" ht="12.75" hidden="1" customHeight="1" x14ac:dyDescent="0.25"/>
    <row r="608" spans="1:26" ht="12.75" hidden="1" customHeight="1" x14ac:dyDescent="0.25">
      <c r="A608" s="79">
        <v>482</v>
      </c>
      <c r="Z608" s="79">
        <v>482</v>
      </c>
    </row>
    <row r="609" spans="1:26" ht="12.75" hidden="1" customHeight="1" x14ac:dyDescent="0.25">
      <c r="A609" s="79"/>
      <c r="Z609" s="79"/>
    </row>
    <row r="610" spans="1:26" ht="12.75" hidden="1" customHeight="1" x14ac:dyDescent="0.25">
      <c r="A610" s="79">
        <v>484</v>
      </c>
      <c r="Z610" s="79">
        <v>484</v>
      </c>
    </row>
    <row r="611" spans="1:26" ht="12.75" hidden="1" customHeight="1" x14ac:dyDescent="0.25">
      <c r="A611" s="79"/>
      <c r="Z611" s="79"/>
    </row>
    <row r="612" spans="1:26" ht="12.75" hidden="1" customHeight="1" x14ac:dyDescent="0.25">
      <c r="A612" s="79">
        <v>486</v>
      </c>
      <c r="Z612" s="79">
        <v>486</v>
      </c>
    </row>
    <row r="613" spans="1:26" ht="12.75" hidden="1" customHeight="1" x14ac:dyDescent="0.25">
      <c r="A613" s="79"/>
      <c r="Z613" s="79"/>
    </row>
    <row r="614" spans="1:26" ht="12.75" hidden="1" customHeight="1" x14ac:dyDescent="0.25">
      <c r="A614" s="79">
        <v>500</v>
      </c>
      <c r="Z614" s="79">
        <v>500</v>
      </c>
    </row>
    <row r="615" spans="1:26" ht="12.75" hidden="1" customHeight="1" x14ac:dyDescent="0.25">
      <c r="A615" s="79"/>
      <c r="Z615" s="79"/>
    </row>
    <row r="616" spans="1:26" ht="12.75" hidden="1" customHeight="1" x14ac:dyDescent="0.25">
      <c r="A616" s="79">
        <v>502</v>
      </c>
      <c r="Z616" s="79">
        <v>502</v>
      </c>
    </row>
    <row r="617" spans="1:26" ht="12.75" hidden="1" customHeight="1" x14ac:dyDescent="0.25">
      <c r="A617" s="79"/>
      <c r="Z617" s="79"/>
    </row>
    <row r="618" spans="1:26" ht="12.75" hidden="1" customHeight="1" x14ac:dyDescent="0.25">
      <c r="A618" s="79">
        <v>500</v>
      </c>
      <c r="Z618" s="79">
        <v>500</v>
      </c>
    </row>
    <row r="619" spans="1:26" ht="12.75" hidden="1" customHeight="1" x14ac:dyDescent="0.25">
      <c r="A619" s="79"/>
      <c r="Z619" s="79"/>
    </row>
    <row r="620" spans="1:26" ht="12.75" hidden="1" customHeight="1" x14ac:dyDescent="0.25">
      <c r="A620" s="79">
        <v>502</v>
      </c>
      <c r="Z620" s="79">
        <v>502</v>
      </c>
    </row>
    <row r="621" spans="1:26" ht="12.75" hidden="1" customHeight="1" x14ac:dyDescent="0.25"/>
    <row r="622" spans="1:26" ht="12.75" hidden="1" customHeight="1" x14ac:dyDescent="0.25">
      <c r="A622" s="79">
        <v>504</v>
      </c>
      <c r="Z622" s="79">
        <v>504</v>
      </c>
    </row>
    <row r="623" spans="1:26" ht="12.75" hidden="1" customHeight="1" x14ac:dyDescent="0.25">
      <c r="A623" s="79"/>
      <c r="Z623" s="79"/>
    </row>
    <row r="624" spans="1:26" ht="12.75" hidden="1" customHeight="1" x14ac:dyDescent="0.25">
      <c r="A624" s="79">
        <v>506</v>
      </c>
      <c r="Z624" s="79">
        <v>506</v>
      </c>
    </row>
    <row r="625" spans="1:26" ht="12.75" hidden="1" customHeight="1" x14ac:dyDescent="0.25">
      <c r="A625" s="79"/>
      <c r="Z625" s="79"/>
    </row>
    <row r="626" spans="1:26" ht="12.75" hidden="1" customHeight="1" x14ac:dyDescent="0.25">
      <c r="A626" s="79">
        <v>508</v>
      </c>
      <c r="Z626" s="79">
        <v>508</v>
      </c>
    </row>
    <row r="627" spans="1:26" ht="12.75" hidden="1" customHeight="1" x14ac:dyDescent="0.25"/>
    <row r="628" spans="1:26" ht="12.75" hidden="1" customHeight="1" x14ac:dyDescent="0.25">
      <c r="A628" s="79">
        <v>510</v>
      </c>
      <c r="Z628" s="79">
        <v>510</v>
      </c>
    </row>
    <row r="629" spans="1:26" ht="12.75" hidden="1" customHeight="1" x14ac:dyDescent="0.25">
      <c r="A629" s="79"/>
      <c r="Z629" s="79"/>
    </row>
    <row r="630" spans="1:26" ht="12.75" hidden="1" customHeight="1" x14ac:dyDescent="0.25">
      <c r="A630" s="79">
        <v>512</v>
      </c>
      <c r="Z630" s="79">
        <v>512</v>
      </c>
    </row>
    <row r="631" spans="1:26" ht="12.75" hidden="1" customHeight="1" x14ac:dyDescent="0.25">
      <c r="A631" s="79"/>
      <c r="Z631" s="79"/>
    </row>
    <row r="632" spans="1:26" ht="12.75" hidden="1" customHeight="1" x14ac:dyDescent="0.25">
      <c r="A632" s="79">
        <v>514</v>
      </c>
      <c r="Z632" s="79">
        <v>514</v>
      </c>
    </row>
    <row r="633" spans="1:26" ht="12.75" hidden="1" customHeight="1" x14ac:dyDescent="0.25">
      <c r="A633" s="79"/>
      <c r="Z633" s="79"/>
    </row>
    <row r="634" spans="1:26" ht="12.75" hidden="1" customHeight="1" x14ac:dyDescent="0.25">
      <c r="A634" s="79">
        <v>516</v>
      </c>
      <c r="Z634" s="79">
        <v>516</v>
      </c>
    </row>
    <row r="635" spans="1:26" ht="0" hidden="1" customHeight="1" x14ac:dyDescent="0.25">
      <c r="A635" s="79"/>
      <c r="Z635" s="79"/>
    </row>
    <row r="636" spans="1:26" ht="0" hidden="1" customHeight="1" x14ac:dyDescent="0.25">
      <c r="A636" s="79">
        <v>518</v>
      </c>
      <c r="Z636" s="79">
        <v>518</v>
      </c>
    </row>
  </sheetData>
  <sortState ref="B164:Y184">
    <sortCondition ref="F164:F184"/>
  </sortState>
  <mergeCells count="11">
    <mergeCell ref="Y8:Y12"/>
    <mergeCell ref="V8:V12"/>
    <mergeCell ref="W8:W12"/>
    <mergeCell ref="X8:X12"/>
    <mergeCell ref="D1:M6"/>
    <mergeCell ref="A4:B5"/>
    <mergeCell ref="G8:G12"/>
    <mergeCell ref="H8:H12"/>
    <mergeCell ref="R8:R12"/>
    <mergeCell ref="S8:U8"/>
    <mergeCell ref="E8:E12"/>
  </mergeCells>
  <conditionalFormatting sqref="G13:G532">
    <cfRule type="dataBar" priority="13934">
      <dataBar>
        <cfvo type="min"/>
        <cfvo type="max"/>
        <color rgb="FFFF555A"/>
      </dataBar>
    </cfRule>
  </conditionalFormatting>
  <conditionalFormatting sqref="Y13:Y574">
    <cfRule type="dataBar" priority="1393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{2B2B45B4-B7E0-49D9-A0B1-4780D4043E9A}</x14:id>
        </ext>
      </extLst>
    </cfRule>
  </conditionalFormatting>
  <conditionalFormatting sqref="H13:H532">
    <cfRule type="dataBar" priority="14012">
      <dataBar>
        <cfvo type="min"/>
        <cfvo type="max"/>
        <color rgb="FFFF555A"/>
      </dataBar>
      <extLst>
        <ext xmlns:x14="http://schemas.microsoft.com/office/spreadsheetml/2009/9/main" uri="{B025F937-C7B1-47D3-B67F-A62EFF666E3E}">
          <x14:id>{828F1318-88B0-446C-A0A9-4FD91766F6DC}</x14:id>
        </ext>
      </extLst>
    </cfRule>
  </conditionalFormatting>
  <conditionalFormatting sqref="F13:F520 F532">
    <cfRule type="dataBar" priority="33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{3DFD734C-0B3C-43E3-8524-8FCCA7D951A7}</x14:id>
        </ext>
      </extLst>
    </cfRule>
  </conditionalFormatting>
  <conditionalFormatting sqref="F539">
    <cfRule type="dataBar" priority="32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{EDD8DA8C-9260-469D-A37C-8C16E06264E0}</x14:id>
        </ext>
      </extLst>
    </cfRule>
  </conditionalFormatting>
  <conditionalFormatting sqref="P13:P533">
    <cfRule type="cellIs" dxfId="205" priority="48" operator="lessThanOrEqual">
      <formula>MIN(P$13:P$417)*1.1</formula>
    </cfRule>
    <cfRule type="cellIs" dxfId="204" priority="13992" operator="equal">
      <formula>MIN(P$13:P$417)</formula>
    </cfRule>
    <cfRule type="colorScale" priority="13993">
      <colorScale>
        <cfvo type="min"/>
        <cfvo type="percentile" val="50"/>
        <cfvo type="percentile" val="90"/>
        <color rgb="FF63BE7B"/>
        <color rgb="FFFFEB84"/>
        <color rgb="FFF8696B"/>
      </colorScale>
    </cfRule>
  </conditionalFormatting>
  <conditionalFormatting sqref="O13:O533">
    <cfRule type="cellIs" dxfId="203" priority="47" operator="lessThanOrEqual">
      <formula>MIN(O$13:O$417)*1.1</formula>
    </cfRule>
    <cfRule type="cellIs" dxfId="202" priority="13974" operator="equal">
      <formula>MIN(O$13:O$417)</formula>
    </cfRule>
    <cfRule type="colorScale" priority="13975">
      <colorScale>
        <cfvo type="min"/>
        <cfvo type="percentile" val="50"/>
        <cfvo type="percentile" val="90"/>
        <color rgb="FF63BE7B"/>
        <color rgb="FFFFEB84"/>
        <color rgb="FFF8696B"/>
      </colorScale>
    </cfRule>
  </conditionalFormatting>
  <conditionalFormatting sqref="M13:M533">
    <cfRule type="cellIs" dxfId="201" priority="43" operator="lessThanOrEqual">
      <formula>MIN(M$13:M$417)*1.1</formula>
    </cfRule>
    <cfRule type="cellIs" dxfId="200" priority="13956" operator="equal">
      <formula>MIN(M$13:M$417)</formula>
    </cfRule>
    <cfRule type="colorScale" priority="13957">
      <colorScale>
        <cfvo type="min"/>
        <cfvo type="percentile" val="50"/>
        <cfvo type="percentile" val="90"/>
        <color rgb="FF63BE7B"/>
        <color rgb="FFFFEB84"/>
        <color rgb="FFF8696B"/>
      </colorScale>
    </cfRule>
  </conditionalFormatting>
  <conditionalFormatting sqref="L13:L533">
    <cfRule type="cellIs" dxfId="199" priority="16372" operator="lessThanOrEqual">
      <formula>MIN(L$13:L$534)*1.1</formula>
    </cfRule>
    <cfRule type="cellIs" dxfId="198" priority="16373" operator="equal">
      <formula>MIN(L$13:L$417)</formula>
    </cfRule>
    <cfRule type="colorScale" priority="16374">
      <colorScale>
        <cfvo type="min"/>
        <cfvo type="percentile" val="50"/>
        <cfvo type="percentile" val="90"/>
        <color rgb="FF63BE7B"/>
        <color rgb="FFFFEB84"/>
        <color rgb="FFF8696B"/>
      </colorScale>
    </cfRule>
  </conditionalFormatting>
  <conditionalFormatting sqref="K13:K533">
    <cfRule type="cellIs" dxfId="197" priority="40" operator="lessThanOrEqual">
      <formula>MIN(K$13:K$417)*1.1</formula>
    </cfRule>
    <cfRule type="cellIs" dxfId="196" priority="13938" operator="equal">
      <formula>MIN(K$13:K$417)</formula>
    </cfRule>
    <cfRule type="colorScale" priority="13939">
      <colorScale>
        <cfvo type="min"/>
        <cfvo type="percentile" val="50"/>
        <cfvo type="percentile" val="90"/>
        <color rgb="FF63BE7B"/>
        <color rgb="FFFFEB84"/>
        <color rgb="FFF8696B"/>
      </colorScale>
    </cfRule>
  </conditionalFormatting>
  <conditionalFormatting sqref="J13:J533">
    <cfRule type="cellIs" dxfId="195" priority="16366" operator="lessThanOrEqual">
      <formula>MIN(J$13:J$534)*1.1</formula>
    </cfRule>
    <cfRule type="cellIs" dxfId="194" priority="16367" operator="equal">
      <formula>MIN(J$13:J$417)</formula>
    </cfRule>
    <cfRule type="colorScale" priority="16368">
      <colorScale>
        <cfvo type="min"/>
        <cfvo type="percentile" val="50"/>
        <cfvo type="percentile" val="90"/>
        <color rgb="FF63BE7B"/>
        <color rgb="FFFFEB84"/>
        <color rgb="FFF8696B"/>
      </colorScale>
    </cfRule>
  </conditionalFormatting>
  <conditionalFormatting sqref="I13:I533">
    <cfRule type="cellIs" dxfId="193" priority="16360" operator="lessThanOrEqual">
      <formula>MIN(I$13:I$534)*1.1</formula>
    </cfRule>
    <cfRule type="cellIs" dxfId="192" priority="16361" operator="equal">
      <formula>MIN(I$13:I$417)</formula>
    </cfRule>
    <cfRule type="colorScale" priority="16362">
      <colorScale>
        <cfvo type="min"/>
        <cfvo type="percentile" val="50"/>
        <cfvo type="percentile" val="90"/>
        <color rgb="FF63BE7B"/>
        <color rgb="FFFFEB84"/>
        <color rgb="FFF8696B"/>
      </colorScale>
    </cfRule>
  </conditionalFormatting>
  <conditionalFormatting sqref="N13:N532">
    <cfRule type="cellIs" dxfId="191" priority="20320" operator="equal">
      <formula>MIN(N$13:N$417)</formula>
    </cfRule>
    <cfRule type="colorScale" priority="20330">
      <colorScale>
        <cfvo type="min"/>
        <cfvo type="percentile" val="50"/>
        <cfvo type="percentile" val="90"/>
        <color rgb="FF63BE7B"/>
        <color rgb="FFFFEB84"/>
        <color rgb="FFF8696B"/>
      </colorScale>
    </cfRule>
    <cfRule type="cellIs" dxfId="190" priority="20331" operator="lessThanOrEqual">
      <formula>MIN(N$13:N535)*1.1</formula>
    </cfRule>
  </conditionalFormatting>
  <conditionalFormatting sqref="F521">
    <cfRule type="dataBar" priority="11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{44266042-569F-4C39-AF24-86BEBB1A4444}</x14:id>
        </ext>
      </extLst>
    </cfRule>
  </conditionalFormatting>
  <conditionalFormatting sqref="F522">
    <cfRule type="dataBar" priority="10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{4BF24829-38DA-44C6-B9C6-DCF08772D00D}</x14:id>
        </ext>
      </extLst>
    </cfRule>
  </conditionalFormatting>
  <conditionalFormatting sqref="F523">
    <cfRule type="dataBar" priority="9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{F4F84FD2-703B-4732-8A5A-E294B52CDBCD}</x14:id>
        </ext>
      </extLst>
    </cfRule>
  </conditionalFormatting>
  <conditionalFormatting sqref="F524">
    <cfRule type="dataBar" priority="8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{D0813103-521E-4EDC-8224-74B02316FC1D}</x14:id>
        </ext>
      </extLst>
    </cfRule>
  </conditionalFormatting>
  <conditionalFormatting sqref="F525">
    <cfRule type="dataBar" priority="7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{8656C8DE-8687-49F6-91F9-57D4D21343D1}</x14:id>
        </ext>
      </extLst>
    </cfRule>
  </conditionalFormatting>
  <conditionalFormatting sqref="F526">
    <cfRule type="dataBar" priority="6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{3CE662D0-BA12-4E7F-918E-1B02206AE2B1}</x14:id>
        </ext>
      </extLst>
    </cfRule>
  </conditionalFormatting>
  <conditionalFormatting sqref="F527">
    <cfRule type="dataBar" priority="5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{74ACC824-9C85-4C13-A14B-BE437FF793CD}</x14:id>
        </ext>
      </extLst>
    </cfRule>
  </conditionalFormatting>
  <conditionalFormatting sqref="F528">
    <cfRule type="dataBar" priority="4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{50176D5F-5D01-464C-BD63-6FFFF342240E}</x14:id>
        </ext>
      </extLst>
    </cfRule>
  </conditionalFormatting>
  <conditionalFormatting sqref="F529">
    <cfRule type="dataBar" priority="3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{A88B5F24-4668-4E7A-8EC0-DE737E02AE98}</x14:id>
        </ext>
      </extLst>
    </cfRule>
  </conditionalFormatting>
  <conditionalFormatting sqref="F530">
    <cfRule type="dataBar" priority="2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{50F3E03E-1395-400F-A287-8A5C018D709D}</x14:id>
        </ext>
      </extLst>
    </cfRule>
  </conditionalFormatting>
  <conditionalFormatting sqref="F531">
    <cfRule type="dataBar" priority="1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{8BE62347-C46A-44D5-850F-1B40683DFA0F}</x14:id>
        </ext>
      </extLst>
    </cfRule>
  </conditionalFormatting>
  <conditionalFormatting sqref="Q13:Q532">
    <cfRule type="cellIs" dxfId="189" priority="20335" operator="equal">
      <formula>MIN(Q$13:Q$417)</formula>
    </cfRule>
    <cfRule type="colorScale" priority="20336">
      <colorScale>
        <cfvo type="min"/>
        <cfvo type="percentile" val="50"/>
        <cfvo type="percentile" val="90"/>
        <color rgb="FF63BE7B"/>
        <color rgb="FFFFEB84"/>
        <color rgb="FFF8696B"/>
      </colorScale>
    </cfRule>
    <cfRule type="cellIs" dxfId="188" priority="20337" operator="lessThanOrEqual">
      <formula>MIN(Q$13:Q535)*1.1</formula>
    </cfRule>
  </conditionalFormatting>
  <hyperlinks>
    <hyperlink ref="C7" r:id="rId1"/>
    <hyperlink ref="C269" r:id="rId2" display="iROLZ Andrew Polar"/>
    <hyperlink ref="C26" r:id="rId3"/>
    <hyperlink ref="C37" r:id="rId4"/>
    <hyperlink ref="C123" r:id="rId5"/>
    <hyperlink ref="C13" r:id="rId6"/>
    <hyperlink ref="C24" r:id="rId7" display="FreeARC 0.67 ultra +srep+precomp+lzma1gb+dispack Bulat Ziganshin"/>
    <hyperlink ref="C250" r:id="rId8" display="WinZip 16.0.9715 (2012) PPMd (Corel)"/>
    <hyperlink ref="C292" r:id="rId9" display="WinZip 16.0.9715 (2012) bzip2"/>
    <hyperlink ref="C366" r:id="rId10" display="WinZip 16.0.9715 (2012) enhanced deflate"/>
    <hyperlink ref="C378" r:id="rId11" display="WinZip 16.0.9715 (2011) legacy 2.0 deflate"/>
    <hyperlink ref="C48" r:id="rId12" display="7-ZIP 9.2.5 LZMA2 ultra128:fb=273:mf=bt4:lc4"/>
    <hyperlink ref="C87" r:id="rId13"/>
    <hyperlink ref="C81" r:id="rId14" display="BSC 3.1.0 -b1024rsca -m0 -H28 -M255 I. Grebnov"/>
    <hyperlink ref="C141" r:id="rId15" display="WinZip 12.0.8252 (optimize best) 2008"/>
    <hyperlink ref="C151" r:id="rId16" display="LZHAM α7r1 -m4 -d29 -t11 -e -x R. Geldreich, Jr."/>
    <hyperlink ref="C159" r:id="rId17" display="LZHAM α6 -m4 -d29 -t11 -e -x R. Geldreich, Jr. "/>
    <hyperlink ref="C146" r:id="rId18" display="WinAce 2.5 - 2.65 Final max solid + filters"/>
    <hyperlink ref="C259" r:id="rId19" display="BZIP2 1.05 (2008) --best Julian Seward"/>
    <hyperlink ref="C263" r:id="rId20"/>
    <hyperlink ref="C340" r:id="rId21" display="Deflate, word size=64, max (7z 4.65)"/>
    <hyperlink ref="C327" r:id="rId22"/>
    <hyperlink ref="C346" r:id="rId23" display="GZIP 1.3.12 (-9) ('07) Jean-Loup Gailly"/>
    <hyperlink ref="C416" r:id="rId24"/>
    <hyperlink ref="J8" r:id="rId25"/>
    <hyperlink ref="O8" r:id="rId26"/>
    <hyperlink ref="P8" r:id="rId27"/>
    <hyperlink ref="Q8" r:id="rId28"/>
    <hyperlink ref="N8" r:id="rId29"/>
    <hyperlink ref="L8" r:id="rId30"/>
    <hyperlink ref="I8" r:id="rId31"/>
    <hyperlink ref="C379" r:id="rId32" display="ARJ 2.x - 3.x  -m1"/>
    <hyperlink ref="C334" r:id="rId33"/>
    <hyperlink ref="C55" r:id="rId34" display="SBC 0.970r3  -m3 -b63 -os Sami Makinen"/>
    <hyperlink ref="C85" r:id="rId35" display="PPMonstr ver J (06) -o16 -m800 D. Shkarin"/>
    <hyperlink ref="C99" r:id="rId36" display="PPMonstr ver I (2002) -o16 -m800"/>
    <hyperlink ref="C121" r:id="rId37" display="Durilca'light 0.5 Dmitry Shkarin -m800 -o32"/>
    <hyperlink ref="C143" r:id="rId38" display="PPMonstr ver G ('00) -o16 -m256 D. Shkarin"/>
    <hyperlink ref="M8" r:id="rId39"/>
    <hyperlink ref="C307" r:id="rId40" display="UC II r3 Pro ('95) s-tight Nico De Vries"/>
    <hyperlink ref="C249" r:id="rId41"/>
    <hyperlink ref="C512" r:id="rId42"/>
    <hyperlink ref="C485" r:id="rId43"/>
    <hyperlink ref="C475" r:id="rId44"/>
    <hyperlink ref="C462" r:id="rId45"/>
    <hyperlink ref="X4" r:id="rId46"/>
    <hyperlink ref="X5" r:id="rId47"/>
    <hyperlink ref="C53" r:id="rId48" display="UHARC 0.6b -mx/3 -mm+ -md+ 32 MB"/>
    <hyperlink ref="C559" r:id="rId49"/>
    <hyperlink ref="C560" r:id="rId50" display="PPMZ 0.81 (2004) Charles Bloom"/>
    <hyperlink ref="C238" r:id="rId51" display="SZIP 1.11 -b41 -o10 Michael Schindler"/>
    <hyperlink ref="C218" r:id="rId52" display="SZIP 1.11 -b41 -o10 Michael Schindler"/>
    <hyperlink ref="C142" r:id="rId53" display="WinZip 16.5.10095 (ZIPX) 2012"/>
    <hyperlink ref="C157" r:id="rId54" display="B1 Free Archiver 0.40"/>
    <hyperlink ref="C519" r:id="rId55"/>
    <hyperlink ref="C31" r:id="rId56" display="MCM 0.8 -9 (2015) Mathieu Chartier)"/>
    <hyperlink ref="C89" r:id="rId57" display="WinRar 4.20β solid 4MB auto filter E. Roshal"/>
    <hyperlink ref="C549" r:id="rId58"/>
    <hyperlink ref="C74" r:id="rId59" display="STUFFIT 14.0.1.27 (sitx) all filters"/>
    <hyperlink ref="C149" r:id="rId60"/>
    <hyperlink ref="C470" r:id="rId61" display="LZF 3.6vf (2011) Marc Lehmann"/>
    <hyperlink ref="C516" r:id="rId62"/>
    <hyperlink ref="C515" r:id="rId63"/>
    <hyperlink ref="C518" r:id="rId64"/>
    <hyperlink ref="C517" r:id="rId65" display="RLC Runlength Comp. B.K.Singh"/>
    <hyperlink ref="C511" r:id="rId66"/>
    <hyperlink ref="C494" r:id="rId67"/>
    <hyperlink ref="C509" r:id="rId68"/>
    <hyperlink ref="C496" r:id="rId69"/>
    <hyperlink ref="C495" r:id="rId70" display="JARCS 0.94 -C4 -S Junichi Uekawa"/>
    <hyperlink ref="C504" r:id="rId71"/>
    <hyperlink ref="C502" r:id="rId72"/>
    <hyperlink ref="C498" r:id="rId73"/>
    <hyperlink ref="C486" r:id="rId74" display="SPLINT 2.1 ('89) -e Rikitake / Wakatabe"/>
    <hyperlink ref="C490" r:id="rId75" display="ARCA 1.29 (1987) W.Chin / V.Buerg"/>
    <hyperlink ref="C487" r:id="rId76"/>
    <hyperlink ref="C483" r:id="rId77"/>
    <hyperlink ref="C484" r:id="rId78"/>
    <hyperlink ref="C480" r:id="rId79"/>
    <hyperlink ref="C477" r:id="rId80" display="PKZIP 1.10 (1990) (-es) Shrink max P. Katz"/>
    <hyperlink ref="C476" r:id="rId81"/>
    <hyperlink ref="C493" r:id="rId82" display="FPAQ 0pv5 ('08) M. Mahoney &amp; N.F.Antonio"/>
    <hyperlink ref="C471" r:id="rId83" display="Microsoft Compress (1992)"/>
    <hyperlink ref="C465" r:id="rId84"/>
    <hyperlink ref="C463" r:id="rId85" display="COMP-2a ('90) -o 7 Mark R. Nelson"/>
    <hyperlink ref="C426" r:id="rId86"/>
    <hyperlink ref="C264" r:id="rId87" display="Urban Compressor ('91) U.Koistinen"/>
    <hyperlink ref="C469" r:id="rId88" display="6PACK (16.06.07) Ariya Hidayat"/>
    <hyperlink ref="C467" r:id="rId89"/>
    <hyperlink ref="C473" r:id="rId90" display="BigCrunch 0.4 RC1 (2006) -mx"/>
    <hyperlink ref="C415" r:id="rId91" display="LZ4 0.9 (2011) Yann Collet"/>
    <hyperlink ref="C428" r:id="rId92"/>
    <hyperlink ref="R4" r:id="rId93"/>
    <hyperlink ref="C111" r:id="rId94" display="CSC 3.2 final (2011) -m3 -d512 Fu Siyuan"/>
    <hyperlink ref="C260" r:id="rId95" display="CSC3 CountrySideCompressor -9 Fu Siyuan"/>
    <hyperlink ref="C459" r:id="rId96"/>
    <hyperlink ref="C452" r:id="rId97"/>
    <hyperlink ref="C451" r:id="rId98"/>
    <hyperlink ref="C450" r:id="rId99"/>
    <hyperlink ref="C461" r:id="rId100"/>
    <hyperlink ref="C435" r:id="rId101" display="UCL 1.03 (UCL library) M. Oberhumer"/>
    <hyperlink ref="C439" r:id="rId102" display="PKZIP 1.10 ('90) Implode max -ei P. Katz"/>
    <hyperlink ref="C436" r:id="rId103"/>
    <hyperlink ref="C455" r:id="rId104"/>
    <hyperlink ref="C453" r:id="rId105"/>
    <hyperlink ref="C437" r:id="rId106"/>
    <hyperlink ref="C441" r:id="rId107"/>
    <hyperlink ref="C408" r:id="rId108" display="Hyper 2.6 (1992) Peter Sawatzki -a"/>
    <hyperlink ref="C438" r:id="rId109"/>
    <hyperlink ref="C443" r:id="rId110" display="aPackage 1.14 ('02) Jørgen Ibsen"/>
    <hyperlink ref="C399" r:id="rId111"/>
    <hyperlink ref="C431" r:id="rId112"/>
    <hyperlink ref="C396" r:id="rId113"/>
    <hyperlink ref="C419" r:id="rId114" display="ELI 5750 (1997) -a -C Jule Revsin"/>
    <hyperlink ref="C418" r:id="rId115"/>
    <hyperlink ref="C425" r:id="rId116"/>
    <hyperlink ref="C413" r:id="rId117"/>
    <hyperlink ref="C403" r:id="rId118"/>
    <hyperlink ref="C420" r:id="rId119" display="SBX 1.4 SpinnerBaker Software"/>
    <hyperlink ref="C421" r:id="rId120"/>
    <hyperlink ref="C404" r:id="rId121" display="LZOP 1.02RC1w (2005) -9 Oberhumer"/>
    <hyperlink ref="C409" r:id="rId122" display="NOAH's ARChiver 1.1 ('90) Richard Levey"/>
    <hyperlink ref="C414" r:id="rId123" display="Scifer beta 2008 -Text ( Senthil Kumar R.)"/>
    <hyperlink ref="C402" r:id="rId124"/>
    <hyperlink ref="C395" r:id="rId125" display="LHA 2.55 - 2.67 (1992) lh5, 16kb huff"/>
    <hyperlink ref="C388" r:id="rId126"/>
    <hyperlink ref="C394" r:id="rId127" display="LZA 1.01 (1999) Chiefs LZ Archiver (max)"/>
    <hyperlink ref="C397" r:id="rId128" display="CrossePAC 1.35 (1994)"/>
    <hyperlink ref="C391" r:id="rId129"/>
    <hyperlink ref="C393" r:id="rId130"/>
    <hyperlink ref="C392" r:id="rId131"/>
    <hyperlink ref="C385" r:id="rId132"/>
    <hyperlink ref="C382" r:id="rId133" display="Safe Melt 32 2.74 (2002) Team Schaft"/>
    <hyperlink ref="C377" r:id="rId134" display="HPACK 0.79 -U P.C. Gutmann"/>
    <hyperlink ref="C369" r:id="rId135"/>
    <hyperlink ref="C368" r:id="rId136"/>
    <hyperlink ref="C370" r:id="rId137" display="BestCrypt Archiver 1.03 - 1.08.3 ('05)"/>
    <hyperlink ref="C380" r:id="rId138"/>
    <hyperlink ref="C376" r:id="rId139" display="ARJZ 0.15 -m9 -md26624 -mf16382"/>
    <hyperlink ref="C361" r:id="rId140" display="BSA 2.0 (1995) -a .bsn PTS Ltd."/>
    <hyperlink ref="C373" r:id="rId141" display="PeaZip 3.3 .PEA better ('10) Giorgio Tani"/>
    <hyperlink ref="C367" r:id="rId142"/>
    <hyperlink ref="C351" r:id="rId143" display="ZET 0.10 β -eh  ('94) Oleg V. Zaimkin"/>
    <hyperlink ref="C359" r:id="rId144" display="DZIP 2.9 (2003) S. Schwoon / N. Pflug"/>
    <hyperlink ref="C355" r:id="rId145" display="AIN 2.32 -m1 (1996) Transas Marine Ltd."/>
    <hyperlink ref="C358" r:id="rId146"/>
    <hyperlink ref="C354" r:id="rId147" display="PIGZ 2.1.6 (-9) ('10) J.L. Gailly &amp; M. Adler"/>
    <hyperlink ref="C352" r:id="rId148" display="HIT 2.10 (1994) a -x Bogdan Ureche"/>
    <hyperlink ref="C350" r:id="rId149"/>
    <hyperlink ref="C348" r:id="rId150" display="AMG 2.2 ('93) max Milen Georgiev"/>
    <hyperlink ref="C349" r:id="rId151"/>
    <hyperlink ref="C347" r:id="rId152"/>
    <hyperlink ref="C362" r:id="rId153"/>
    <hyperlink ref="C330" r:id="rId154" display="LHARK 0.4d (1997) K.F. Medina -tob"/>
    <hyperlink ref="C318" r:id="rId155"/>
    <hyperlink ref="C360" r:id="rId156" display="Huffman Comp. Engine II 0.21q (J.Jared)"/>
    <hyperlink ref="C332" r:id="rId157"/>
    <hyperlink ref="C323" r:id="rId158" display="Etincelle RC2 ('10) Yann Collet"/>
    <hyperlink ref="C325" r:id="rId159" display="KZIP ('06) /s0 /b1024 /rn Ken Silverman"/>
    <hyperlink ref="C333" r:id="rId160"/>
    <hyperlink ref="C317" r:id="rId161"/>
    <hyperlink ref="C314" r:id="rId162" display="JAR32 1.02 (1997) -m4 Robert Jung"/>
    <hyperlink ref="C305" r:id="rId163" display="4x4 0.1 Option 5 (2008) Bulat Ziganshin"/>
    <hyperlink ref="C341" r:id="rId164" display="Tornado 0.1 -12 -b100 B. Ziganshin"/>
    <hyperlink ref="C243" r:id="rId165" display="TORnado 0.4 (2008) -12 Bulat Ziganshin"/>
    <hyperlink ref="C295" r:id="rId166" display="TORnado 0.3 (2008) default Bulat Ziganshin"/>
    <hyperlink ref="C562" r:id="rId167" display="Reasonable Archiver 1.1.0.8"/>
    <hyperlink ref="C235" r:id="rId168" display="WinTurtle 1.4.0 (2007) Nania F. Antonio"/>
    <hyperlink ref="C95" r:id="rId169" display="YZX 0.11 (2012) -r -s -m9 -b8 -h5 N.F. Antonio"/>
    <hyperlink ref="C563" r:id="rId170" display="RINGS 1.6 opt. 10 ('08) Nania F. Antonio"/>
    <hyperlink ref="C178" r:id="rId171" display="HOOK 1.4 ('09) 912 MB N.F. Antonio"/>
    <hyperlink ref="C371" r:id="rId172" display="packARC 0.7rc6 (2012) Matthias Stirner"/>
    <hyperlink ref="C298" r:id="rId173" display="BZP 0.3 (2008) Nania Francesco Antonio"/>
    <hyperlink ref="C266" r:id="rId174" display="LZSR 0.01 (2011) Nania Francesco Antonio"/>
    <hyperlink ref="C310" r:id="rId175" display="LGHA  1.1g /c30000 /l16383 George Lyapko"/>
    <hyperlink ref="C293" r:id="rId176" display="LZPX 1.5b (2005) Ilia Muraviev"/>
    <hyperlink ref="C308" r:id="rId177"/>
    <hyperlink ref="C343" r:id="rId178"/>
    <hyperlink ref="C196" r:id="rId179" display="COMPROX_SA (09.2011) Zhang Li"/>
    <hyperlink ref="C267" r:id="rId180" display="COMPROX 0.2.0 (2011) Zhang Li opt.9"/>
    <hyperlink ref="C300" r:id="rId181" display="X1 0.95 β (aum4l3d9) Stig Valentini"/>
    <hyperlink ref="C285" r:id="rId182"/>
    <hyperlink ref="C278" r:id="rId183" display="RAR 2.00 (1996) best, solid, mmedia"/>
    <hyperlink ref="C279" r:id="rId184" display="RAR 2.50 (1996) best, solid mmedia"/>
    <hyperlink ref="C248" r:id="rId185" display="ARHANGEL 1.40  /2 /mm /mf G. Lyapko"/>
    <hyperlink ref="C272" r:id="rId186"/>
    <hyperlink ref="C290" r:id="rId187"/>
    <hyperlink ref="C271" r:id="rId188" display="WinHKI 1.3 - 1.73 (04-06) HKI1 H.P. Imp"/>
    <hyperlink ref="C257" r:id="rId189" display="XTREME 1.06 ('99) -m0 -s -t8 B. Sabin"/>
    <hyperlink ref="C273" r:id="rId190"/>
    <hyperlink ref="C244" r:id="rId191" display="BWTZIP 1.0 ('03) Stephan T. Lavavej"/>
    <hyperlink ref="C217" r:id="rId192" display="Disintegrator 0.9b  -mg -4 c (1998)"/>
    <hyperlink ref="C252" r:id="rId193"/>
    <hyperlink ref="C254" r:id="rId194" display="EXP1 Experimental Archiver 1.0"/>
    <hyperlink ref="C255" r:id="rId195" display="PBZIP2 1.1.7 -p12 -9 J.Seward &amp; J.Gilchrist"/>
    <hyperlink ref="C256" r:id="rId196"/>
    <hyperlink ref="C265" r:id="rId197" display="BIX 1.00 β 7 (1999) -s -m1 -mdg I. Pavlov"/>
    <hyperlink ref="C253" r:id="rId198"/>
    <hyperlink ref="C234" r:id="rId199" display="Microsoft CAB (LZX21 max)"/>
    <hyperlink ref="C224" r:id="rId200"/>
    <hyperlink ref="C233" r:id="rId201"/>
    <hyperlink ref="C225" r:id="rId202" display="QUAD 1.12 Final -x (2007) Ilia Muraviev"/>
    <hyperlink ref="C216" r:id="rId203" display="UFA 0.04 β 1 ('98) -mx -mu32 -s -mg"/>
    <hyperlink ref="C188" r:id="rId204"/>
    <hyperlink ref="C199" r:id="rId205" display="PAQ 1 / KGB Archiver 2 M. Mahoney"/>
    <hyperlink ref="C251" r:id="rId206" display="ICE-OWS (2002) max Raphaël Mounier"/>
    <hyperlink ref="C197" r:id="rId207" display="BALZ 1.15 (2008) Ilia Muraviev Mode ex"/>
    <hyperlink ref="C175" r:id="rId208"/>
    <hyperlink ref="C190" r:id="rId209" display="BioArchiver 1.9 hyper, automatic"/>
    <hyperlink ref="C212" r:id="rId210" display="ZZIP 0.36 -56m -mx ('02) Damien Debin"/>
    <hyperlink ref="C209" r:id="rId211"/>
    <hyperlink ref="C187" r:id="rId212" display="4x4 0.1 Option 9 (2008) Bulat Ziganshin"/>
    <hyperlink ref="C163" r:id="rId213" display="PIM 2.90 (2009) Ilia Muraviev (Best)"/>
    <hyperlink ref="C45" r:id="rId214" display="CMM4 0.2b 66 (2008) Christopher Mattern"/>
    <hyperlink ref="C205" r:id="rId215"/>
    <hyperlink ref="C306" r:id="rId216"/>
    <hyperlink ref="C219" r:id="rId217" display="ECP 0.e.s. (2000) -b127 Michael Semikov"/>
    <hyperlink ref="C215" r:id="rId218"/>
    <hyperlink ref="C195" r:id="rId219" display="WinArchiver 2.1 .MZP best (2010)"/>
    <hyperlink ref="C207" r:id="rId220"/>
    <hyperlink ref="C80" r:id="rId221" display="CTXf 0.75 pre-b1 (2003) -me -b L. Nikita"/>
    <hyperlink ref="C171" r:id="rId222" display="ALZIP 8.12 .EGG solid, p. on ratio ESTSOFT"/>
    <hyperlink ref="C160" r:id="rId223"/>
    <hyperlink ref="C201" r:id="rId224" display="BMA 1.33 -m16m -mx -a (2006) A. Cherenkov"/>
    <hyperlink ref="C161" r:id="rId225" display="YBS 0.03f -m16m Vadim Yoockin"/>
    <hyperlink ref="C229" r:id="rId226" display="M99 2.2.1 (Michael A. Maniscalco) -m 32m"/>
    <hyperlink ref="C29" r:id="rId227" display="WinRK 3.1.2 (ROLZ-3 650 MB) M. Taylor"/>
    <hyperlink ref="C35" r:id="rId228" display="WinRK 3.1.2 (Best Asymmetric) 650 MB"/>
    <hyperlink ref="C164" r:id="rId229" display="ABC 2.4 (2003) -c Jürgen Abel"/>
    <hyperlink ref="C538" r:id="rId230"/>
    <hyperlink ref="C221" r:id="rId231" display="M99 2.2.1 Michael A. Maniscalco -m 128m"/>
    <hyperlink ref="C448" r:id="rId232" display="TC 4.3 (2005) Ilia Muraviev"/>
    <hyperlink ref="C110" r:id="rId233" display="Distance Coder 0.98β -b16383el Edgar Binder"/>
    <hyperlink ref="C127" r:id="rId234"/>
    <hyperlink ref="C118" r:id="rId235" display="LZMA SDK 9.20 (2010) -d27 -fb273 I. Pavlov"/>
    <hyperlink ref="C124" r:id="rId236" display="BSSC 0.95α  -b16383as Sergeo Sizikov"/>
    <hyperlink ref="C140" r:id="rId237"/>
    <hyperlink ref="C130" r:id="rId238" display="PPMVC 1.2 -o8 -m256 P. Skibinski"/>
    <hyperlink ref="C97" r:id="rId239"/>
    <hyperlink ref="C88" r:id="rId240" display="LZPXJ 1.2h ('06) -9 Ilia Muraviev"/>
    <hyperlink ref="C113" r:id="rId241" display="UHBC 1.0 ('03) -b128m -m3 Uwe Herklotz"/>
    <hyperlink ref="C101" r:id="rId242" display="PPMd Jr1 sh8 -o16 -m1600 -c E. Shelwien"/>
    <hyperlink ref="C98" r:id="rId243" display="LZMA SDK 9.20 + LZMAREC E. Shelwien"/>
    <hyperlink ref="C107" r:id="rId244" display="BCM 0.12 (2010) -b100 Ilia Muraviev"/>
    <hyperlink ref="C117" r:id="rId245" display="M03 1.1 blocksize 1GB M.A. Maniscalco"/>
    <hyperlink ref="C168" r:id="rId246"/>
    <hyperlink ref="C92" r:id="rId247" display="UHARC 0.6b -m3 -mm+ -md+ 32 MB"/>
    <hyperlink ref="C77" r:id="rId248" display="Squeez 5.1 - 5.63 (32MB ultra) auto"/>
    <hyperlink ref="C147" r:id="rId249" display="Compressia 1.0b (max) 15MB engl. Solid"/>
    <hyperlink ref="C56" r:id="rId250" display="LPAQ1 (opt. 8) Matt Mahoney 2007"/>
    <hyperlink ref="C44" r:id="rId251" display="PAQ9a -8 ('07) Matt Mahoney"/>
    <hyperlink ref="C231" r:id="rId252" display="PPMX 0.08 (2012) Ilia Muraviev"/>
    <hyperlink ref="C232" r:id="rId253" display="WinTurtle 1.4.0 (2007) Nania F. Antonio"/>
    <hyperlink ref="C507" r:id="rId254"/>
    <hyperlink ref="C239" r:id="rId255" display="PreComp 0.4.3 dev Christian Schneider"/>
    <hyperlink ref="C214" r:id="rId256" display="COMPROX_SA (09.2011) Zhang Li"/>
    <hyperlink ref="C240" r:id="rId257"/>
    <hyperlink ref="C328" r:id="rId258" display="PPM o4 Nauful"/>
    <hyperlink ref="C150" r:id="rId259" display="M99 ('07) 128 MB -m Michael A. Maniscalco"/>
    <hyperlink ref="C102" r:id="rId260" display="M03 0.2 α (2009) 250 MB M. A. Maniscalco"/>
    <hyperlink ref="C115" r:id="rId261" display="M03 (2005) 32 MB Michael A. Maniscalco"/>
    <hyperlink ref="C139" r:id="rId262" display="M03 (2005) 8 MB Michael A. Maniscalco"/>
    <hyperlink ref="C458" r:id="rId263" display="Data-Shrinker (2023) Fu Siyuan"/>
    <hyperlink ref="C446" r:id="rId264"/>
    <hyperlink ref="C492" r:id="rId265" display="FPAQ 0pv4b M. Mahoney &amp; E.Shelwien"/>
    <hyperlink ref="C541" r:id="rId266" display="KWC (2010) Sportsman"/>
    <hyperlink ref="C179" r:id="rId267"/>
    <hyperlink ref="R5" r:id="rId268"/>
    <hyperlink ref="C434" r:id="rId269" display="LZGT3 (2008) Gerald R. Tamayo"/>
    <hyperlink ref="C276" r:id="rId270" display="jTarsaLZP 21-Aug-2008 Piotr Tarsa"/>
    <hyperlink ref="C482" r:id="rId271"/>
    <hyperlink ref="C363" r:id="rId272" display="Symbra 0.2 Frank Schwellinger"/>
    <hyperlink ref="C144" r:id="rId273" display="Power Archiver 13.02.04  7z opt.ultra solid"/>
    <hyperlink ref="C320" r:id="rId274"/>
    <hyperlink ref="C338" r:id="rId275" display="RangeCoder 1.8 c2 28 David Catt"/>
    <hyperlink ref="C241" r:id="rId276"/>
    <hyperlink ref="C21" r:id="rId277" display="ZCM 0.30 -m7 -r -s (2012) N.F. Antonio"/>
    <hyperlink ref="C63" r:id="rId278" display="FLASHZIP 0.99c2 (2011) -r -s -m3 -c7 -b8"/>
    <hyperlink ref="C38" r:id="rId279" display="FreeARC 0.67 (2012) ultra Bulat Zigashin"/>
    <hyperlink ref="C261" r:id="rId280"/>
    <hyperlink ref="C6" r:id="rId281"/>
    <hyperlink ref="K8" r:id="rId282"/>
    <hyperlink ref="C46" r:id="rId283" display="LPAQ4e 9  2007 Matt Mahoney"/>
    <hyperlink ref="C489" r:id="rId284"/>
    <hyperlink ref="C32" r:id="rId285" display="ZPAQ 6.06 -method 4 Matt Mahoney"/>
    <hyperlink ref="C356" r:id="rId286"/>
    <hyperlink ref="C223" r:id="rId287" display="TORnado 0.4 (2008) -12 Bulat Ziganshin"/>
    <hyperlink ref="C36" r:id="rId288" display="MCM 0.3 -9 (2013) Matthieu Chartier"/>
    <hyperlink ref="C34" r:id="rId289"/>
    <hyperlink ref="C18" r:id="rId290" display="ZCM 0.30 -m7 -r -s (2012) N.F. Antonio"/>
    <hyperlink ref="C104" r:id="rId291" display="BCM 0.14 (2013) c1000  Ilya Muravyov"/>
    <hyperlink ref="C364" r:id="rId292" display="CRUSH 1.0 (2013) Ilya Muravyov"/>
    <hyperlink ref="C57" r:id="rId293" display="TANGELO 2.0 (2013) Jan Ondrus"/>
    <hyperlink ref="C60" r:id="rId294" display="TANGELO 2.0 (2013) Jan Ondrus"/>
    <hyperlink ref="C170" r:id="rId295"/>
    <hyperlink ref="C488" r:id="rId296"/>
    <hyperlink ref="C58" r:id="rId297" display="TANGELO 2.0 (2013) Jan Ondrus"/>
    <hyperlink ref="C374" r:id="rId298"/>
    <hyperlink ref="C206" r:id="rId299" display="B1 Free Archiver 0.40"/>
    <hyperlink ref="C75" r:id="rId300" display="BSC 3.1.0 -b1024rsca -m0 -H28 -M255 I. Grebnov"/>
    <hyperlink ref="C73" r:id="rId301" display="BSC 3.1.0 -b1024rsca -m0 -H28 -M255 I. Grebnov"/>
    <hyperlink ref="C126" r:id="rId302" display="WinZip 18.0 (ZIPX best method)  Corel Corp."/>
    <hyperlink ref="C156" r:id="rId303"/>
    <hyperlink ref="C198" r:id="rId304" display="CM0"/>
    <hyperlink ref="C68" r:id="rId305"/>
    <hyperlink ref="C247" r:id="rId306"/>
    <hyperlink ref="C372" r:id="rId307"/>
    <hyperlink ref="C40" r:id="rId308" display="ZPAQ 6.43 -method 66 ('13) Matt Mahoney"/>
    <hyperlink ref="C173" r:id="rId309"/>
    <hyperlink ref="C313" r:id="rId310"/>
    <hyperlink ref="C337" r:id="rId311" display="ZHUFF 0.8 (2011) Yann Collet"/>
    <hyperlink ref="C283" r:id="rId312"/>
    <hyperlink ref="C432" r:id="rId313" display="packLZH 0.4 (2014) Matthias Stirner"/>
    <hyperlink ref="C533" r:id="rId314"/>
    <hyperlink ref="C228" r:id="rId315" display="LZA 0.01 (2014) -m5x -b7 -h6 -s Fr. Nania"/>
    <hyperlink ref="C19" r:id="rId316"/>
    <hyperlink ref="C70" r:id="rId317" display="Pcompress 3.0 -l14 -s60m -cadapt1 M. Ghosh"/>
    <hyperlink ref="C90" r:id="rId318" display="PP"/>
    <hyperlink ref="C152" r:id="rId319"/>
    <hyperlink ref="C154" r:id="rId320" display="LZA 0.50b (2014) -mx5 -b7 -h6 -s Fr. Nania"/>
    <hyperlink ref="C280" r:id="rId321" display="RH5 c6 -window:17 (2014) Nauful"/>
    <hyperlink ref="C301" r:id="rId322"/>
    <hyperlink ref="C191" r:id="rId323" display="WinArchiver 3.7 (2014) .MZP best "/>
    <hyperlink ref="C116" r:id="rId324" display="Power Archiver 15.00.38 - 7z opt.ultra solid"/>
    <hyperlink ref="C398" r:id="rId325"/>
    <hyperlink ref="C22" r:id="rId326" display="MCM 0.8 -11 (2015) Mathieu Chartier)"/>
    <hyperlink ref="C25" r:id="rId327" display="MCM 0.81 -9 (2015) Mathieu Chartier)"/>
    <hyperlink ref="C16" r:id="rId328" display="MCM 0.81 -9 (2015) Mathieu Chartier)"/>
    <hyperlink ref="C106" r:id="rId329" display="Radyx 0.91 -ma=2 -r -md=256m -mds=64k"/>
    <hyperlink ref="C158" r:id="rId330" display="LZHAM 1.1 α7r1 -m4 -d29 -e -x R. Geldreich, Jr."/>
    <hyperlink ref="C128" r:id="rId331"/>
    <hyperlink ref="C84" r:id="rId332"/>
    <hyperlink ref="C131" r:id="rId333"/>
    <hyperlink ref="C210" r:id="rId334"/>
    <hyperlink ref="C15" r:id="rId335" display="MCM 0.81 -9 (2015) Mathieu Chartier)"/>
    <hyperlink ref="C17" r:id="rId336" display="ZCM 0.30 -m7 -r -s (2012) N.F. Antonio"/>
    <hyperlink ref="C133" r:id="rId337" display="QAD 1.11 (2015) Petr Kucera"/>
    <hyperlink ref="C120" r:id="rId338"/>
    <hyperlink ref="C51" r:id="rId339"/>
    <hyperlink ref="C119" r:id="rId340"/>
    <hyperlink ref="C54" r:id="rId341"/>
    <hyperlink ref="C270" r:id="rId342" display="BROTLI 2015 09 -q 9"/>
    <hyperlink ref="C457" r:id="rId343"/>
    <hyperlink ref="C445" r:id="rId344" display="SREEP 1.2 (2015) c3,,13 xezz"/>
    <hyperlink ref="C316" r:id="rId345" display="ZSTD 0.0.1 (2015) Yann Collet"/>
    <hyperlink ref="C390" r:id="rId346"/>
    <hyperlink ref="C258" r:id="rId347" display="PreComp 0.4.4 -cn Christian Schneider"/>
    <hyperlink ref="C521" r:id="rId348"/>
    <hyperlink ref="C186" r:id="rId349" display="ZSTD 0.0.1 (2015) Yann Collet"/>
    <hyperlink ref="C108" r:id="rId350"/>
    <hyperlink ref="C440" r:id="rId351" display="Zip-Ada 50 (2016) -ed3 G. de Montmollin"/>
    <hyperlink ref="C464" r:id="rId352" display="Zip-Ada 50 (2016) -ed3 G. de Montmollin"/>
    <hyperlink ref="C375" r:id="rId353" display="Zip-Ada 50 (2016) -ed3 G. de Montmollin"/>
    <hyperlink ref="C262" r:id="rId354"/>
    <hyperlink ref="C208" r:id="rId355" display="B1 Free Archiver 0.40"/>
    <hyperlink ref="C132" r:id="rId356"/>
    <hyperlink ref="C49" r:id="rId357" display="7-ZIP 9.2.5 LZMA2 ultra128:fb=273:mf=bt4:lc4"/>
    <hyperlink ref="C33" r:id="rId358"/>
    <hyperlink ref="C137" r:id="rId359"/>
    <hyperlink ref="C174" r:id="rId360" display="BCE 0.4 Christoph Diegelmann"/>
    <hyperlink ref="C136" r:id="rId361" display="PLZIP 1.5 -m273 -s120000000"/>
    <hyperlink ref="C138" r:id="rId362" display="PLZIP 1.5 -m273 -s120000000"/>
    <hyperlink ref="C20" r:id="rId363"/>
    <hyperlink ref="C331" r:id="rId364" display="LZ5 1.3.3 option -18 (2016) P. Skibinski"/>
    <hyperlink ref="C344" r:id="rId365"/>
    <hyperlink ref="C100" r:id="rId366" display="Distance Coder 0.99.307 -x -b16300fxldo / -fcpre Edgar Binder"/>
    <hyperlink ref="C387" r:id="rId367" display="oo"/>
    <hyperlink ref="C294" r:id="rId368" display="BMGVC Xezz"/>
    <hyperlink ref="C181" r:id="rId369" display="BMZFP 1.1 Xezz"/>
    <hyperlink ref="C287" r:id="rId370"/>
    <hyperlink ref="C460" r:id="rId371"/>
    <hyperlink ref="C386" r:id="rId372" display="AHREE"/>
    <hyperlink ref="C447" r:id="rId373"/>
    <hyperlink ref="C478" r:id="rId374" display="LZW-AB David Bryant"/>
    <hyperlink ref="C427" r:id="rId375"/>
    <hyperlink ref="C322" r:id="rId376" display="Zip-Ada 50 + REZIP (2016) G. de Montmollin"/>
    <hyperlink ref="C50" r:id="rId377" display="TANGELO 2.3 (2016) Jan Ondrus &amp; "/>
    <hyperlink ref="C83" r:id="rId378" display="REFLATE v1g (2016) Eugene Shelwien"/>
    <hyperlink ref="C42" r:id="rId379"/>
    <hyperlink ref="C326" r:id="rId380"/>
    <hyperlink ref="C329" r:id="rId381"/>
    <hyperlink ref="C335" r:id="rId382"/>
    <hyperlink ref="C167" r:id="rId383" display="ZSTD 1.0.1r3 -22 (2016) Yann Collet"/>
    <hyperlink ref="C39" r:id="rId384" display="FreeARC'Next 0.11 -mx9 (2016) Bulat Ziganshin"/>
    <hyperlink ref="C93" r:id="rId385"/>
    <hyperlink ref="C288" r:id="rId386"/>
    <hyperlink ref="C66" r:id="rId387" display="MSC 0.0.6.4 (CLS) (2014) ProFrager"/>
    <hyperlink ref="C72" r:id="rId388" display="Masked Compression 2.5 -multra (2016)"/>
    <hyperlink ref="C64" r:id="rId389" display="Masked Compression 2.5 -multra (2016)"/>
    <hyperlink ref="C69" r:id="rId390" display="Masked Compression 2.5 -multra (2016)"/>
    <hyperlink ref="C27" r:id="rId391" display="PowerArchiver 17.00.55 .pa opt. strong extreme"/>
    <hyperlink ref="C423" r:id="rId392" display="LZG 1.0.8 Marcus Geelnard"/>
    <hyperlink ref="C345" r:id="rId393" display="LZFSE (2016) Apple Inc."/>
    <hyperlink ref="C304" r:id="rId394" display="Lizard 1.0 -49 P. Skibinski"/>
    <hyperlink ref="C324" r:id="rId395" display="LibDeflate 0.7 E. Biggers"/>
    <hyperlink ref="C472" r:id="rId396"/>
    <hyperlink ref="C311" r:id="rId397"/>
    <hyperlink ref="C96" r:id="rId398"/>
    <hyperlink ref="C135" r:id="rId399"/>
    <hyperlink ref="C153" r:id="rId400"/>
    <hyperlink ref="C185" r:id="rId401"/>
    <hyperlink ref="C184" r:id="rId402" display="ZSTD 1.1.4 -22 --ultra (2017) Yann Collet"/>
    <hyperlink ref="C412" r:id="rId403"/>
    <hyperlink ref="C319" r:id="rId404" display="ULZ 0.6 (best) (2017) Ilya Muravyov"/>
    <hyperlink ref="C499" r:id="rId405"/>
    <hyperlink ref="C180" r:id="rId406" display="Crush Codec"/>
    <hyperlink ref="C28" r:id="rId407" display="PowerArchiver 17.00.90 .pa opt. strong extreme"/>
    <hyperlink ref="C481" r:id="rId408" display="HeatShrink 0.4.1"/>
    <hyperlink ref="C501" r:id="rId409" display="Chameleon (2015) Charles Bloom"/>
    <hyperlink ref="C552" r:id="rId410" location="post_24538188" display="Nakamichi Kintaro 'GoldenBoy'"/>
    <hyperlink ref="C200" r:id="rId411"/>
    <hyperlink ref="C193" r:id="rId412"/>
    <hyperlink ref="C23" r:id="rId413" display="RAZOR Archiver 1.00 (2017) Christian Martelock"/>
    <hyperlink ref="C497" r:id="rId414"/>
    <hyperlink ref="C433" r:id="rId415" display="PPMHuff 0.3 Joseph H. Allen, Xezz"/>
    <hyperlink ref="C542" r:id="rId416" display="LZCB20 (1998) Charles Bloom"/>
    <hyperlink ref="C543" r:id="rId417" display="LZCB41 (1998) Charles Bloom"/>
    <hyperlink ref="C312" r:id="rId418" display="BRED 3.0 (1997) -M16 -m729 David Wheeler"/>
    <hyperlink ref="C554" r:id="rId419" display="NanoZip 0.07 -cc -m2g Sami Runsas"/>
  </hyperlinks>
  <pageMargins left="0" right="0" top="0" bottom="0" header="0.51181102362204722" footer="0.51181102362204722"/>
  <pageSetup paperSize="9" scale="44" firstPageNumber="0" fitToHeight="0" orientation="landscape" r:id="rId420"/>
  <headerFooter alignWithMargins="0"/>
  <drawing r:id="rId421"/>
  <legacyDrawing r:id="rId422"/>
  <picture r:id="rId423"/>
  <webPublishItems count="2">
    <webPublishItem id="27177" divId="SqueezeChart2013web_27177" sourceType="range" sourceRef="A1:Z574" destinationFile="C:\Users\squeeze\Downloads\main.htm"/>
    <webPublishItem id="4415" divId="SqueezeChart2015web_4415" sourceType="range" sourceRef="A1:Z581" destinationFile="D:\FILES 1989 - 2015\Files 2015\main.htm"/>
  </webPublishItem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2B2B45B4-B7E0-49D9-A0B1-4780D4043E9A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Y13:Y574</xm:sqref>
        </x14:conditionalFormatting>
        <x14:conditionalFormatting xmlns:xm="http://schemas.microsoft.com/office/excel/2006/main">
          <x14:cfRule type="dataBar" id="{828F1318-88B0-446C-A0A9-4FD91766F6DC}">
            <x14:dataBar minLength="0" maxLength="100" border="1" negativeBarBorderColorSameAsPositive="0">
              <x14:cfvo type="autoMin"/>
              <x14:cfvo type="autoMax"/>
              <x14:borderColor rgb="FFFF555A"/>
              <x14:negativeFillColor rgb="FFFF0000"/>
              <x14:negativeBorderColor rgb="FFFF0000"/>
              <x14:axisColor rgb="FF000000"/>
            </x14:dataBar>
          </x14:cfRule>
          <xm:sqref>H13:H532</xm:sqref>
        </x14:conditionalFormatting>
        <x14:conditionalFormatting xmlns:xm="http://schemas.microsoft.com/office/excel/2006/main">
          <x14:cfRule type="dataBar" id="{3DFD734C-0B3C-43E3-8524-8FCCA7D951A7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F13:F520 F532</xm:sqref>
        </x14:conditionalFormatting>
        <x14:conditionalFormatting xmlns:xm="http://schemas.microsoft.com/office/excel/2006/main">
          <x14:cfRule type="dataBar" id="{EDD8DA8C-9260-469D-A37C-8C16E06264E0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F539</xm:sqref>
        </x14:conditionalFormatting>
        <x14:conditionalFormatting xmlns:xm="http://schemas.microsoft.com/office/excel/2006/main">
          <x14:cfRule type="dataBar" id="{44266042-569F-4C39-AF24-86BEBB1A4444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F521</xm:sqref>
        </x14:conditionalFormatting>
        <x14:conditionalFormatting xmlns:xm="http://schemas.microsoft.com/office/excel/2006/main">
          <x14:cfRule type="dataBar" id="{4BF24829-38DA-44C6-B9C6-DCF08772D00D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F522</xm:sqref>
        </x14:conditionalFormatting>
        <x14:conditionalFormatting xmlns:xm="http://schemas.microsoft.com/office/excel/2006/main">
          <x14:cfRule type="dataBar" id="{F4F84FD2-703B-4732-8A5A-E294B52CDBCD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F523</xm:sqref>
        </x14:conditionalFormatting>
        <x14:conditionalFormatting xmlns:xm="http://schemas.microsoft.com/office/excel/2006/main">
          <x14:cfRule type="dataBar" id="{D0813103-521E-4EDC-8224-74B02316FC1D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F524</xm:sqref>
        </x14:conditionalFormatting>
        <x14:conditionalFormatting xmlns:xm="http://schemas.microsoft.com/office/excel/2006/main">
          <x14:cfRule type="dataBar" id="{8656C8DE-8687-49F6-91F9-57D4D21343D1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F525</xm:sqref>
        </x14:conditionalFormatting>
        <x14:conditionalFormatting xmlns:xm="http://schemas.microsoft.com/office/excel/2006/main">
          <x14:cfRule type="dataBar" id="{3CE662D0-BA12-4E7F-918E-1B02206AE2B1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F526</xm:sqref>
        </x14:conditionalFormatting>
        <x14:conditionalFormatting xmlns:xm="http://schemas.microsoft.com/office/excel/2006/main">
          <x14:cfRule type="dataBar" id="{74ACC824-9C85-4C13-A14B-BE437FF793CD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F527</xm:sqref>
        </x14:conditionalFormatting>
        <x14:conditionalFormatting xmlns:xm="http://schemas.microsoft.com/office/excel/2006/main">
          <x14:cfRule type="dataBar" id="{50176D5F-5D01-464C-BD63-6FFFF342240E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F528</xm:sqref>
        </x14:conditionalFormatting>
        <x14:conditionalFormatting xmlns:xm="http://schemas.microsoft.com/office/excel/2006/main">
          <x14:cfRule type="dataBar" id="{A88B5F24-4668-4E7A-8EC0-DE737E02AE98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F529</xm:sqref>
        </x14:conditionalFormatting>
        <x14:conditionalFormatting xmlns:xm="http://schemas.microsoft.com/office/excel/2006/main">
          <x14:cfRule type="dataBar" id="{50F3E03E-1395-400F-A287-8A5C018D709D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F530</xm:sqref>
        </x14:conditionalFormatting>
        <x14:conditionalFormatting xmlns:xm="http://schemas.microsoft.com/office/excel/2006/main">
          <x14:cfRule type="dataBar" id="{8BE62347-C46A-44D5-850F-1B40683DFA0F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F531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5">
    <tabColor rgb="FFFF0000"/>
  </sheetPr>
  <dimension ref="A1:WWJ646"/>
  <sheetViews>
    <sheetView showGridLines="0" tabSelected="1" zoomScaleNormal="100" workbookViewId="0">
      <pane xSplit="8" ySplit="12" topLeftCell="I13" activePane="bottomRight" state="frozen"/>
      <selection pane="topRight" activeCell="K1" sqref="K1"/>
      <selection pane="bottomLeft" activeCell="A11" sqref="A11"/>
      <selection pane="bottomRight" activeCell="S13" sqref="S13"/>
    </sheetView>
  </sheetViews>
  <sheetFormatPr baseColWidth="10" defaultColWidth="0" defaultRowHeight="0" customHeight="1" zeroHeight="1" x14ac:dyDescent="0.25"/>
  <cols>
    <col min="1" max="1" width="3.28515625" style="138" customWidth="1"/>
    <col min="2" max="2" width="3.85546875" style="138" customWidth="1"/>
    <col min="3" max="3" width="40.7109375" style="138" customWidth="1"/>
    <col min="4" max="4" width="3.85546875" style="477" customWidth="1"/>
    <col min="5" max="5" width="4.28515625" style="138" customWidth="1"/>
    <col min="6" max="6" width="10.5703125" style="138" customWidth="1"/>
    <col min="7" max="7" width="9.140625" style="138" customWidth="1"/>
    <col min="8" max="8" width="8.5703125" style="138" customWidth="1"/>
    <col min="9" max="10" width="12.7109375" style="139" customWidth="1"/>
    <col min="11" max="11" width="13.85546875" style="139" customWidth="1"/>
    <col min="12" max="12" width="14.28515625" style="139" customWidth="1"/>
    <col min="13" max="16" width="12.7109375" style="139" customWidth="1"/>
    <col min="17" max="17" width="14.42578125" style="139" customWidth="1"/>
    <col min="18" max="18" width="10.28515625" style="139" customWidth="1"/>
    <col min="19" max="19" width="6.85546875" style="139" customWidth="1"/>
    <col min="20" max="20" width="4" style="139" customWidth="1"/>
    <col min="21" max="21" width="13" style="138" customWidth="1"/>
    <col min="22" max="22" width="17" style="138" customWidth="1"/>
    <col min="23" max="23" width="46.85546875" style="138" customWidth="1"/>
    <col min="24" max="24" width="7.7109375" style="138" customWidth="1"/>
    <col min="25" max="25" width="3.28515625" style="138" customWidth="1"/>
    <col min="26" max="249" width="0" style="138" hidden="1"/>
    <col min="250" max="251" width="3.28515625" style="138" hidden="1" customWidth="1"/>
    <col min="252" max="252" width="30.7109375" style="138" hidden="1" customWidth="1"/>
    <col min="253" max="253" width="2.7109375" style="138" hidden="1" customWidth="1"/>
    <col min="254" max="254" width="12.85546875" style="138" hidden="1" customWidth="1"/>
    <col min="255" max="256" width="9.5703125" style="138" hidden="1" customWidth="1"/>
    <col min="257" max="257" width="7.42578125" style="138" hidden="1" customWidth="1"/>
    <col min="258" max="258" width="11.140625" style="138" hidden="1" customWidth="1"/>
    <col min="259" max="259" width="11.28515625" style="138" hidden="1" customWidth="1"/>
    <col min="260" max="260" width="11.7109375" style="138" hidden="1" customWidth="1"/>
    <col min="261" max="261" width="11.28515625" style="138" hidden="1" customWidth="1"/>
    <col min="262" max="262" width="10.7109375" style="138" hidden="1" customWidth="1"/>
    <col min="263" max="263" width="11.28515625" style="138" hidden="1" customWidth="1"/>
    <col min="264" max="264" width="11.42578125" style="138" hidden="1" customWidth="1"/>
    <col min="265" max="265" width="10.42578125" style="138" hidden="1" customWidth="1"/>
    <col min="266" max="266" width="11.28515625" style="138" hidden="1" customWidth="1"/>
    <col min="267" max="267" width="11.42578125" style="138" hidden="1" customWidth="1"/>
    <col min="268" max="268" width="10.7109375" style="138" hidden="1" customWidth="1"/>
    <col min="269" max="269" width="10.28515625" style="138" hidden="1" customWidth="1"/>
    <col min="270" max="270" width="11.5703125" style="138" hidden="1" customWidth="1"/>
    <col min="271" max="272" width="11.42578125" style="138" hidden="1" customWidth="1"/>
    <col min="273" max="273" width="10.85546875" style="138" hidden="1" customWidth="1"/>
    <col min="274" max="274" width="8.7109375" style="138" hidden="1" customWidth="1"/>
    <col min="275" max="275" width="6.28515625" style="138" hidden="1" customWidth="1"/>
    <col min="276" max="276" width="4" style="138" hidden="1" customWidth="1"/>
    <col min="277" max="277" width="8.7109375" style="138" hidden="1" customWidth="1"/>
    <col min="278" max="278" width="13.7109375" style="138" hidden="1" customWidth="1"/>
    <col min="279" max="279" width="20.7109375" style="138" hidden="1" customWidth="1"/>
    <col min="280" max="280" width="9.42578125" style="138" hidden="1" customWidth="1"/>
    <col min="281" max="281" width="3.28515625" style="138" hidden="1" customWidth="1"/>
    <col min="282" max="505" width="0" style="138" hidden="1"/>
    <col min="506" max="507" width="3.28515625" style="138" hidden="1" customWidth="1"/>
    <col min="508" max="508" width="30.7109375" style="138" hidden="1" customWidth="1"/>
    <col min="509" max="509" width="2.7109375" style="138" hidden="1" customWidth="1"/>
    <col min="510" max="510" width="12.85546875" style="138" hidden="1" customWidth="1"/>
    <col min="511" max="512" width="9.5703125" style="138" hidden="1" customWidth="1"/>
    <col min="513" max="513" width="7.42578125" style="138" hidden="1" customWidth="1"/>
    <col min="514" max="514" width="11.140625" style="138" hidden="1" customWidth="1"/>
    <col min="515" max="515" width="11.28515625" style="138" hidden="1" customWidth="1"/>
    <col min="516" max="516" width="11.7109375" style="138" hidden="1" customWidth="1"/>
    <col min="517" max="517" width="11.28515625" style="138" hidden="1" customWidth="1"/>
    <col min="518" max="518" width="10.7109375" style="138" hidden="1" customWidth="1"/>
    <col min="519" max="519" width="11.28515625" style="138" hidden="1" customWidth="1"/>
    <col min="520" max="520" width="11.42578125" style="138" hidden="1" customWidth="1"/>
    <col min="521" max="521" width="10.42578125" style="138" hidden="1" customWidth="1"/>
    <col min="522" max="522" width="11.28515625" style="138" hidden="1" customWidth="1"/>
    <col min="523" max="523" width="11.42578125" style="138" hidden="1" customWidth="1"/>
    <col min="524" max="524" width="10.7109375" style="138" hidden="1" customWidth="1"/>
    <col min="525" max="525" width="10.28515625" style="138" hidden="1" customWidth="1"/>
    <col min="526" max="526" width="11.5703125" style="138" hidden="1" customWidth="1"/>
    <col min="527" max="528" width="11.42578125" style="138" hidden="1" customWidth="1"/>
    <col min="529" max="529" width="10.85546875" style="138" hidden="1" customWidth="1"/>
    <col min="530" max="530" width="8.7109375" style="138" hidden="1" customWidth="1"/>
    <col min="531" max="531" width="6.28515625" style="138" hidden="1" customWidth="1"/>
    <col min="532" max="532" width="4" style="138" hidden="1" customWidth="1"/>
    <col min="533" max="533" width="8.7109375" style="138" hidden="1" customWidth="1"/>
    <col min="534" max="534" width="13.7109375" style="138" hidden="1" customWidth="1"/>
    <col min="535" max="535" width="20.7109375" style="138" hidden="1" customWidth="1"/>
    <col min="536" max="536" width="9.42578125" style="138" hidden="1" customWidth="1"/>
    <col min="537" max="537" width="3.28515625" style="138" hidden="1" customWidth="1"/>
    <col min="538" max="761" width="0" style="138" hidden="1"/>
    <col min="762" max="763" width="3.28515625" style="138" hidden="1" customWidth="1"/>
    <col min="764" max="764" width="30.7109375" style="138" hidden="1" customWidth="1"/>
    <col min="765" max="765" width="2.7109375" style="138" hidden="1" customWidth="1"/>
    <col min="766" max="766" width="12.85546875" style="138" hidden="1" customWidth="1"/>
    <col min="767" max="768" width="9.5703125" style="138" hidden="1" customWidth="1"/>
    <col min="769" max="769" width="7.42578125" style="138" hidden="1" customWidth="1"/>
    <col min="770" max="770" width="11.140625" style="138" hidden="1" customWidth="1"/>
    <col min="771" max="771" width="11.28515625" style="138" hidden="1" customWidth="1"/>
    <col min="772" max="772" width="11.7109375" style="138" hidden="1" customWidth="1"/>
    <col min="773" max="773" width="11.28515625" style="138" hidden="1" customWidth="1"/>
    <col min="774" max="774" width="10.7109375" style="138" hidden="1" customWidth="1"/>
    <col min="775" max="775" width="11.28515625" style="138" hidden="1" customWidth="1"/>
    <col min="776" max="776" width="11.42578125" style="138" hidden="1" customWidth="1"/>
    <col min="777" max="777" width="10.42578125" style="138" hidden="1" customWidth="1"/>
    <col min="778" max="778" width="11.28515625" style="138" hidden="1" customWidth="1"/>
    <col min="779" max="779" width="11.42578125" style="138" hidden="1" customWidth="1"/>
    <col min="780" max="780" width="10.7109375" style="138" hidden="1" customWidth="1"/>
    <col min="781" max="781" width="10.28515625" style="138" hidden="1" customWidth="1"/>
    <col min="782" max="782" width="11.5703125" style="138" hidden="1" customWidth="1"/>
    <col min="783" max="784" width="11.42578125" style="138" hidden="1" customWidth="1"/>
    <col min="785" max="785" width="10.85546875" style="138" hidden="1" customWidth="1"/>
    <col min="786" max="786" width="8.7109375" style="138" hidden="1" customWidth="1"/>
    <col min="787" max="787" width="6.28515625" style="138" hidden="1" customWidth="1"/>
    <col min="788" max="788" width="4" style="138" hidden="1" customWidth="1"/>
    <col min="789" max="789" width="8.7109375" style="138" hidden="1" customWidth="1"/>
    <col min="790" max="790" width="13.7109375" style="138" hidden="1" customWidth="1"/>
    <col min="791" max="791" width="20.7109375" style="138" hidden="1" customWidth="1"/>
    <col min="792" max="792" width="9.42578125" style="138" hidden="1" customWidth="1"/>
    <col min="793" max="793" width="3.28515625" style="138" hidden="1" customWidth="1"/>
    <col min="794" max="1017" width="0" style="138" hidden="1"/>
    <col min="1018" max="1019" width="3.28515625" style="138" hidden="1" customWidth="1"/>
    <col min="1020" max="1020" width="30.7109375" style="138" hidden="1" customWidth="1"/>
    <col min="1021" max="1021" width="2.7109375" style="138" hidden="1" customWidth="1"/>
    <col min="1022" max="1022" width="12.85546875" style="138" hidden="1" customWidth="1"/>
    <col min="1023" max="1024" width="9.5703125" style="138" hidden="1" customWidth="1"/>
    <col min="1025" max="1025" width="7.42578125" style="138" hidden="1" customWidth="1"/>
    <col min="1026" max="1026" width="11.140625" style="138" hidden="1" customWidth="1"/>
    <col min="1027" max="1027" width="11.28515625" style="138" hidden="1" customWidth="1"/>
    <col min="1028" max="1028" width="11.7109375" style="138" hidden="1" customWidth="1"/>
    <col min="1029" max="1029" width="11.28515625" style="138" hidden="1" customWidth="1"/>
    <col min="1030" max="1030" width="10.7109375" style="138" hidden="1" customWidth="1"/>
    <col min="1031" max="1031" width="11.28515625" style="138" hidden="1" customWidth="1"/>
    <col min="1032" max="1032" width="11.42578125" style="138" hidden="1" customWidth="1"/>
    <col min="1033" max="1033" width="10.42578125" style="138" hidden="1" customWidth="1"/>
    <col min="1034" max="1034" width="11.28515625" style="138" hidden="1" customWidth="1"/>
    <col min="1035" max="1035" width="11.42578125" style="138" hidden="1" customWidth="1"/>
    <col min="1036" max="1036" width="10.7109375" style="138" hidden="1" customWidth="1"/>
    <col min="1037" max="1037" width="10.28515625" style="138" hidden="1" customWidth="1"/>
    <col min="1038" max="1038" width="11.5703125" style="138" hidden="1" customWidth="1"/>
    <col min="1039" max="1040" width="11.42578125" style="138" hidden="1" customWidth="1"/>
    <col min="1041" max="1041" width="10.85546875" style="138" hidden="1" customWidth="1"/>
    <col min="1042" max="1042" width="8.7109375" style="138" hidden="1" customWidth="1"/>
    <col min="1043" max="1043" width="6.28515625" style="138" hidden="1" customWidth="1"/>
    <col min="1044" max="1044" width="4" style="138" hidden="1" customWidth="1"/>
    <col min="1045" max="1045" width="8.7109375" style="138" hidden="1" customWidth="1"/>
    <col min="1046" max="1046" width="13.7109375" style="138" hidden="1" customWidth="1"/>
    <col min="1047" max="1047" width="20.7109375" style="138" hidden="1" customWidth="1"/>
    <col min="1048" max="1048" width="9.42578125" style="138" hidden="1" customWidth="1"/>
    <col min="1049" max="1049" width="3.28515625" style="138" hidden="1" customWidth="1"/>
    <col min="1050" max="1273" width="0" style="138" hidden="1"/>
    <col min="1274" max="1275" width="3.28515625" style="138" hidden="1" customWidth="1"/>
    <col min="1276" max="1276" width="30.7109375" style="138" hidden="1" customWidth="1"/>
    <col min="1277" max="1277" width="2.7109375" style="138" hidden="1" customWidth="1"/>
    <col min="1278" max="1278" width="12.85546875" style="138" hidden="1" customWidth="1"/>
    <col min="1279" max="1280" width="9.5703125" style="138" hidden="1" customWidth="1"/>
    <col min="1281" max="1281" width="7.42578125" style="138" hidden="1" customWidth="1"/>
    <col min="1282" max="1282" width="11.140625" style="138" hidden="1" customWidth="1"/>
    <col min="1283" max="1283" width="11.28515625" style="138" hidden="1" customWidth="1"/>
    <col min="1284" max="1284" width="11.7109375" style="138" hidden="1" customWidth="1"/>
    <col min="1285" max="1285" width="11.28515625" style="138" hidden="1" customWidth="1"/>
    <col min="1286" max="1286" width="10.7109375" style="138" hidden="1" customWidth="1"/>
    <col min="1287" max="1287" width="11.28515625" style="138" hidden="1" customWidth="1"/>
    <col min="1288" max="1288" width="11.42578125" style="138" hidden="1" customWidth="1"/>
    <col min="1289" max="1289" width="10.42578125" style="138" hidden="1" customWidth="1"/>
    <col min="1290" max="1290" width="11.28515625" style="138" hidden="1" customWidth="1"/>
    <col min="1291" max="1291" width="11.42578125" style="138" hidden="1" customWidth="1"/>
    <col min="1292" max="1292" width="10.7109375" style="138" hidden="1" customWidth="1"/>
    <col min="1293" max="1293" width="10.28515625" style="138" hidden="1" customWidth="1"/>
    <col min="1294" max="1294" width="11.5703125" style="138" hidden="1" customWidth="1"/>
    <col min="1295" max="1296" width="11.42578125" style="138" hidden="1" customWidth="1"/>
    <col min="1297" max="1297" width="10.85546875" style="138" hidden="1" customWidth="1"/>
    <col min="1298" max="1298" width="8.7109375" style="138" hidden="1" customWidth="1"/>
    <col min="1299" max="1299" width="6.28515625" style="138" hidden="1" customWidth="1"/>
    <col min="1300" max="1300" width="4" style="138" hidden="1" customWidth="1"/>
    <col min="1301" max="1301" width="8.7109375" style="138" hidden="1" customWidth="1"/>
    <col min="1302" max="1302" width="13.7109375" style="138" hidden="1" customWidth="1"/>
    <col min="1303" max="1303" width="20.7109375" style="138" hidden="1" customWidth="1"/>
    <col min="1304" max="1304" width="9.42578125" style="138" hidden="1" customWidth="1"/>
    <col min="1305" max="1305" width="3.28515625" style="138" hidden="1" customWidth="1"/>
    <col min="1306" max="1529" width="0" style="138" hidden="1"/>
    <col min="1530" max="1531" width="3.28515625" style="138" hidden="1" customWidth="1"/>
    <col min="1532" max="1532" width="30.7109375" style="138" hidden="1" customWidth="1"/>
    <col min="1533" max="1533" width="2.7109375" style="138" hidden="1" customWidth="1"/>
    <col min="1534" max="1534" width="12.85546875" style="138" hidden="1" customWidth="1"/>
    <col min="1535" max="1536" width="9.5703125" style="138" hidden="1" customWidth="1"/>
    <col min="1537" max="1537" width="7.42578125" style="138" hidden="1" customWidth="1"/>
    <col min="1538" max="1538" width="11.140625" style="138" hidden="1" customWidth="1"/>
    <col min="1539" max="1539" width="11.28515625" style="138" hidden="1" customWidth="1"/>
    <col min="1540" max="1540" width="11.7109375" style="138" hidden="1" customWidth="1"/>
    <col min="1541" max="1541" width="11.28515625" style="138" hidden="1" customWidth="1"/>
    <col min="1542" max="1542" width="10.7109375" style="138" hidden="1" customWidth="1"/>
    <col min="1543" max="1543" width="11.28515625" style="138" hidden="1" customWidth="1"/>
    <col min="1544" max="1544" width="11.42578125" style="138" hidden="1" customWidth="1"/>
    <col min="1545" max="1545" width="10.42578125" style="138" hidden="1" customWidth="1"/>
    <col min="1546" max="1546" width="11.28515625" style="138" hidden="1" customWidth="1"/>
    <col min="1547" max="1547" width="11.42578125" style="138" hidden="1" customWidth="1"/>
    <col min="1548" max="1548" width="10.7109375" style="138" hidden="1" customWidth="1"/>
    <col min="1549" max="1549" width="10.28515625" style="138" hidden="1" customWidth="1"/>
    <col min="1550" max="1550" width="11.5703125" style="138" hidden="1" customWidth="1"/>
    <col min="1551" max="1552" width="11.42578125" style="138" hidden="1" customWidth="1"/>
    <col min="1553" max="1553" width="10.85546875" style="138" hidden="1" customWidth="1"/>
    <col min="1554" max="1554" width="8.7109375" style="138" hidden="1" customWidth="1"/>
    <col min="1555" max="1555" width="6.28515625" style="138" hidden="1" customWidth="1"/>
    <col min="1556" max="1556" width="4" style="138" hidden="1" customWidth="1"/>
    <col min="1557" max="1557" width="8.7109375" style="138" hidden="1" customWidth="1"/>
    <col min="1558" max="1558" width="13.7109375" style="138" hidden="1" customWidth="1"/>
    <col min="1559" max="1559" width="20.7109375" style="138" hidden="1" customWidth="1"/>
    <col min="1560" max="1560" width="9.42578125" style="138" hidden="1" customWidth="1"/>
    <col min="1561" max="1561" width="3.28515625" style="138" hidden="1" customWidth="1"/>
    <col min="1562" max="1785" width="0" style="138" hidden="1"/>
    <col min="1786" max="1787" width="3.28515625" style="138" hidden="1" customWidth="1"/>
    <col min="1788" max="1788" width="30.7109375" style="138" hidden="1" customWidth="1"/>
    <col min="1789" max="1789" width="2.7109375" style="138" hidden="1" customWidth="1"/>
    <col min="1790" max="1790" width="12.85546875" style="138" hidden="1" customWidth="1"/>
    <col min="1791" max="1792" width="9.5703125" style="138" hidden="1" customWidth="1"/>
    <col min="1793" max="1793" width="7.42578125" style="138" hidden="1" customWidth="1"/>
    <col min="1794" max="1794" width="11.140625" style="138" hidden="1" customWidth="1"/>
    <col min="1795" max="1795" width="11.28515625" style="138" hidden="1" customWidth="1"/>
    <col min="1796" max="1796" width="11.7109375" style="138" hidden="1" customWidth="1"/>
    <col min="1797" max="1797" width="11.28515625" style="138" hidden="1" customWidth="1"/>
    <col min="1798" max="1798" width="10.7109375" style="138" hidden="1" customWidth="1"/>
    <col min="1799" max="1799" width="11.28515625" style="138" hidden="1" customWidth="1"/>
    <col min="1800" max="1800" width="11.42578125" style="138" hidden="1" customWidth="1"/>
    <col min="1801" max="1801" width="10.42578125" style="138" hidden="1" customWidth="1"/>
    <col min="1802" max="1802" width="11.28515625" style="138" hidden="1" customWidth="1"/>
    <col min="1803" max="1803" width="11.42578125" style="138" hidden="1" customWidth="1"/>
    <col min="1804" max="1804" width="10.7109375" style="138" hidden="1" customWidth="1"/>
    <col min="1805" max="1805" width="10.28515625" style="138" hidden="1" customWidth="1"/>
    <col min="1806" max="1806" width="11.5703125" style="138" hidden="1" customWidth="1"/>
    <col min="1807" max="1808" width="11.42578125" style="138" hidden="1" customWidth="1"/>
    <col min="1809" max="1809" width="10.85546875" style="138" hidden="1" customWidth="1"/>
    <col min="1810" max="1810" width="8.7109375" style="138" hidden="1" customWidth="1"/>
    <col min="1811" max="1811" width="6.28515625" style="138" hidden="1" customWidth="1"/>
    <col min="1812" max="1812" width="4" style="138" hidden="1" customWidth="1"/>
    <col min="1813" max="1813" width="8.7109375" style="138" hidden="1" customWidth="1"/>
    <col min="1814" max="1814" width="13.7109375" style="138" hidden="1" customWidth="1"/>
    <col min="1815" max="1815" width="20.7109375" style="138" hidden="1" customWidth="1"/>
    <col min="1816" max="1816" width="9.42578125" style="138" hidden="1" customWidth="1"/>
    <col min="1817" max="1817" width="3.28515625" style="138" hidden="1" customWidth="1"/>
    <col min="1818" max="2041" width="0" style="138" hidden="1"/>
    <col min="2042" max="2043" width="3.28515625" style="138" hidden="1" customWidth="1"/>
    <col min="2044" max="2044" width="30.7109375" style="138" hidden="1" customWidth="1"/>
    <col min="2045" max="2045" width="2.7109375" style="138" hidden="1" customWidth="1"/>
    <col min="2046" max="2046" width="12.85546875" style="138" hidden="1" customWidth="1"/>
    <col min="2047" max="2048" width="9.5703125" style="138" hidden="1" customWidth="1"/>
    <col min="2049" max="2049" width="7.42578125" style="138" hidden="1" customWidth="1"/>
    <col min="2050" max="2050" width="11.140625" style="138" hidden="1" customWidth="1"/>
    <col min="2051" max="2051" width="11.28515625" style="138" hidden="1" customWidth="1"/>
    <col min="2052" max="2052" width="11.7109375" style="138" hidden="1" customWidth="1"/>
    <col min="2053" max="2053" width="11.28515625" style="138" hidden="1" customWidth="1"/>
    <col min="2054" max="2054" width="10.7109375" style="138" hidden="1" customWidth="1"/>
    <col min="2055" max="2055" width="11.28515625" style="138" hidden="1" customWidth="1"/>
    <col min="2056" max="2056" width="11.42578125" style="138" hidden="1" customWidth="1"/>
    <col min="2057" max="2057" width="10.42578125" style="138" hidden="1" customWidth="1"/>
    <col min="2058" max="2058" width="11.28515625" style="138" hidden="1" customWidth="1"/>
    <col min="2059" max="2059" width="11.42578125" style="138" hidden="1" customWidth="1"/>
    <col min="2060" max="2060" width="10.7109375" style="138" hidden="1" customWidth="1"/>
    <col min="2061" max="2061" width="10.28515625" style="138" hidden="1" customWidth="1"/>
    <col min="2062" max="2062" width="11.5703125" style="138" hidden="1" customWidth="1"/>
    <col min="2063" max="2064" width="11.42578125" style="138" hidden="1" customWidth="1"/>
    <col min="2065" max="2065" width="10.85546875" style="138" hidden="1" customWidth="1"/>
    <col min="2066" max="2066" width="8.7109375" style="138" hidden="1" customWidth="1"/>
    <col min="2067" max="2067" width="6.28515625" style="138" hidden="1" customWidth="1"/>
    <col min="2068" max="2068" width="4" style="138" hidden="1" customWidth="1"/>
    <col min="2069" max="2069" width="8.7109375" style="138" hidden="1" customWidth="1"/>
    <col min="2070" max="2070" width="13.7109375" style="138" hidden="1" customWidth="1"/>
    <col min="2071" max="2071" width="20.7109375" style="138" hidden="1" customWidth="1"/>
    <col min="2072" max="2072" width="9.42578125" style="138" hidden="1" customWidth="1"/>
    <col min="2073" max="2073" width="3.28515625" style="138" hidden="1" customWidth="1"/>
    <col min="2074" max="2297" width="0" style="138" hidden="1"/>
    <col min="2298" max="2299" width="3.28515625" style="138" hidden="1" customWidth="1"/>
    <col min="2300" max="2300" width="30.7109375" style="138" hidden="1" customWidth="1"/>
    <col min="2301" max="2301" width="2.7109375" style="138" hidden="1" customWidth="1"/>
    <col min="2302" max="2302" width="12.85546875" style="138" hidden="1" customWidth="1"/>
    <col min="2303" max="2304" width="9.5703125" style="138" hidden="1" customWidth="1"/>
    <col min="2305" max="2305" width="7.42578125" style="138" hidden="1" customWidth="1"/>
    <col min="2306" max="2306" width="11.140625" style="138" hidden="1" customWidth="1"/>
    <col min="2307" max="2307" width="11.28515625" style="138" hidden="1" customWidth="1"/>
    <col min="2308" max="2308" width="11.7109375" style="138" hidden="1" customWidth="1"/>
    <col min="2309" max="2309" width="11.28515625" style="138" hidden="1" customWidth="1"/>
    <col min="2310" max="2310" width="10.7109375" style="138" hidden="1" customWidth="1"/>
    <col min="2311" max="2311" width="11.28515625" style="138" hidden="1" customWidth="1"/>
    <col min="2312" max="2312" width="11.42578125" style="138" hidden="1" customWidth="1"/>
    <col min="2313" max="2313" width="10.42578125" style="138" hidden="1" customWidth="1"/>
    <col min="2314" max="2314" width="11.28515625" style="138" hidden="1" customWidth="1"/>
    <col min="2315" max="2315" width="11.42578125" style="138" hidden="1" customWidth="1"/>
    <col min="2316" max="2316" width="10.7109375" style="138" hidden="1" customWidth="1"/>
    <col min="2317" max="2317" width="10.28515625" style="138" hidden="1" customWidth="1"/>
    <col min="2318" max="2318" width="11.5703125" style="138" hidden="1" customWidth="1"/>
    <col min="2319" max="2320" width="11.42578125" style="138" hidden="1" customWidth="1"/>
    <col min="2321" max="2321" width="10.85546875" style="138" hidden="1" customWidth="1"/>
    <col min="2322" max="2322" width="8.7109375" style="138" hidden="1" customWidth="1"/>
    <col min="2323" max="2323" width="6.28515625" style="138" hidden="1" customWidth="1"/>
    <col min="2324" max="2324" width="4" style="138" hidden="1" customWidth="1"/>
    <col min="2325" max="2325" width="8.7109375" style="138" hidden="1" customWidth="1"/>
    <col min="2326" max="2326" width="13.7109375" style="138" hidden="1" customWidth="1"/>
    <col min="2327" max="2327" width="20.7109375" style="138" hidden="1" customWidth="1"/>
    <col min="2328" max="2328" width="9.42578125" style="138" hidden="1" customWidth="1"/>
    <col min="2329" max="2329" width="3.28515625" style="138" hidden="1" customWidth="1"/>
    <col min="2330" max="2553" width="0" style="138" hidden="1"/>
    <col min="2554" max="2555" width="3.28515625" style="138" hidden="1" customWidth="1"/>
    <col min="2556" max="2556" width="30.7109375" style="138" hidden="1" customWidth="1"/>
    <col min="2557" max="2557" width="2.7109375" style="138" hidden="1" customWidth="1"/>
    <col min="2558" max="2558" width="12.85546875" style="138" hidden="1" customWidth="1"/>
    <col min="2559" max="2560" width="9.5703125" style="138" hidden="1" customWidth="1"/>
    <col min="2561" max="2561" width="7.42578125" style="138" hidden="1" customWidth="1"/>
    <col min="2562" max="2562" width="11.140625" style="138" hidden="1" customWidth="1"/>
    <col min="2563" max="2563" width="11.28515625" style="138" hidden="1" customWidth="1"/>
    <col min="2564" max="2564" width="11.7109375" style="138" hidden="1" customWidth="1"/>
    <col min="2565" max="2565" width="11.28515625" style="138" hidden="1" customWidth="1"/>
    <col min="2566" max="2566" width="10.7109375" style="138" hidden="1" customWidth="1"/>
    <col min="2567" max="2567" width="11.28515625" style="138" hidden="1" customWidth="1"/>
    <col min="2568" max="2568" width="11.42578125" style="138" hidden="1" customWidth="1"/>
    <col min="2569" max="2569" width="10.42578125" style="138" hidden="1" customWidth="1"/>
    <col min="2570" max="2570" width="11.28515625" style="138" hidden="1" customWidth="1"/>
    <col min="2571" max="2571" width="11.42578125" style="138" hidden="1" customWidth="1"/>
    <col min="2572" max="2572" width="10.7109375" style="138" hidden="1" customWidth="1"/>
    <col min="2573" max="2573" width="10.28515625" style="138" hidden="1" customWidth="1"/>
    <col min="2574" max="2574" width="11.5703125" style="138" hidden="1" customWidth="1"/>
    <col min="2575" max="2576" width="11.42578125" style="138" hidden="1" customWidth="1"/>
    <col min="2577" max="2577" width="10.85546875" style="138" hidden="1" customWidth="1"/>
    <col min="2578" max="2578" width="8.7109375" style="138" hidden="1" customWidth="1"/>
    <col min="2579" max="2579" width="6.28515625" style="138" hidden="1" customWidth="1"/>
    <col min="2580" max="2580" width="4" style="138" hidden="1" customWidth="1"/>
    <col min="2581" max="2581" width="8.7109375" style="138" hidden="1" customWidth="1"/>
    <col min="2582" max="2582" width="13.7109375" style="138" hidden="1" customWidth="1"/>
    <col min="2583" max="2583" width="20.7109375" style="138" hidden="1" customWidth="1"/>
    <col min="2584" max="2584" width="9.42578125" style="138" hidden="1" customWidth="1"/>
    <col min="2585" max="2585" width="3.28515625" style="138" hidden="1" customWidth="1"/>
    <col min="2586" max="2809" width="0" style="138" hidden="1"/>
    <col min="2810" max="2811" width="3.28515625" style="138" hidden="1" customWidth="1"/>
    <col min="2812" max="2812" width="30.7109375" style="138" hidden="1" customWidth="1"/>
    <col min="2813" max="2813" width="2.7109375" style="138" hidden="1" customWidth="1"/>
    <col min="2814" max="2814" width="12.85546875" style="138" hidden="1" customWidth="1"/>
    <col min="2815" max="2816" width="9.5703125" style="138" hidden="1" customWidth="1"/>
    <col min="2817" max="2817" width="7.42578125" style="138" hidden="1" customWidth="1"/>
    <col min="2818" max="2818" width="11.140625" style="138" hidden="1" customWidth="1"/>
    <col min="2819" max="2819" width="11.28515625" style="138" hidden="1" customWidth="1"/>
    <col min="2820" max="2820" width="11.7109375" style="138" hidden="1" customWidth="1"/>
    <col min="2821" max="2821" width="11.28515625" style="138" hidden="1" customWidth="1"/>
    <col min="2822" max="2822" width="10.7109375" style="138" hidden="1" customWidth="1"/>
    <col min="2823" max="2823" width="11.28515625" style="138" hidden="1" customWidth="1"/>
    <col min="2824" max="2824" width="11.42578125" style="138" hidden="1" customWidth="1"/>
    <col min="2825" max="2825" width="10.42578125" style="138" hidden="1" customWidth="1"/>
    <col min="2826" max="2826" width="11.28515625" style="138" hidden="1" customWidth="1"/>
    <col min="2827" max="2827" width="11.42578125" style="138" hidden="1" customWidth="1"/>
    <col min="2828" max="2828" width="10.7109375" style="138" hidden="1" customWidth="1"/>
    <col min="2829" max="2829" width="10.28515625" style="138" hidden="1" customWidth="1"/>
    <col min="2830" max="2830" width="11.5703125" style="138" hidden="1" customWidth="1"/>
    <col min="2831" max="2832" width="11.42578125" style="138" hidden="1" customWidth="1"/>
    <col min="2833" max="2833" width="10.85546875" style="138" hidden="1" customWidth="1"/>
    <col min="2834" max="2834" width="8.7109375" style="138" hidden="1" customWidth="1"/>
    <col min="2835" max="2835" width="6.28515625" style="138" hidden="1" customWidth="1"/>
    <col min="2836" max="2836" width="4" style="138" hidden="1" customWidth="1"/>
    <col min="2837" max="2837" width="8.7109375" style="138" hidden="1" customWidth="1"/>
    <col min="2838" max="2838" width="13.7109375" style="138" hidden="1" customWidth="1"/>
    <col min="2839" max="2839" width="20.7109375" style="138" hidden="1" customWidth="1"/>
    <col min="2840" max="2840" width="9.42578125" style="138" hidden="1" customWidth="1"/>
    <col min="2841" max="2841" width="3.28515625" style="138" hidden="1" customWidth="1"/>
    <col min="2842" max="3065" width="0" style="138" hidden="1"/>
    <col min="3066" max="3067" width="3.28515625" style="138" hidden="1" customWidth="1"/>
    <col min="3068" max="3068" width="30.7109375" style="138" hidden="1" customWidth="1"/>
    <col min="3069" max="3069" width="2.7109375" style="138" hidden="1" customWidth="1"/>
    <col min="3070" max="3070" width="12.85546875" style="138" hidden="1" customWidth="1"/>
    <col min="3071" max="3072" width="9.5703125" style="138" hidden="1" customWidth="1"/>
    <col min="3073" max="3073" width="7.42578125" style="138" hidden="1" customWidth="1"/>
    <col min="3074" max="3074" width="11.140625" style="138" hidden="1" customWidth="1"/>
    <col min="3075" max="3075" width="11.28515625" style="138" hidden="1" customWidth="1"/>
    <col min="3076" max="3076" width="11.7109375" style="138" hidden="1" customWidth="1"/>
    <col min="3077" max="3077" width="11.28515625" style="138" hidden="1" customWidth="1"/>
    <col min="3078" max="3078" width="10.7109375" style="138" hidden="1" customWidth="1"/>
    <col min="3079" max="3079" width="11.28515625" style="138" hidden="1" customWidth="1"/>
    <col min="3080" max="3080" width="11.42578125" style="138" hidden="1" customWidth="1"/>
    <col min="3081" max="3081" width="10.42578125" style="138" hidden="1" customWidth="1"/>
    <col min="3082" max="3082" width="11.28515625" style="138" hidden="1" customWidth="1"/>
    <col min="3083" max="3083" width="11.42578125" style="138" hidden="1" customWidth="1"/>
    <col min="3084" max="3084" width="10.7109375" style="138" hidden="1" customWidth="1"/>
    <col min="3085" max="3085" width="10.28515625" style="138" hidden="1" customWidth="1"/>
    <col min="3086" max="3086" width="11.5703125" style="138" hidden="1" customWidth="1"/>
    <col min="3087" max="3088" width="11.42578125" style="138" hidden="1" customWidth="1"/>
    <col min="3089" max="3089" width="10.85546875" style="138" hidden="1" customWidth="1"/>
    <col min="3090" max="3090" width="8.7109375" style="138" hidden="1" customWidth="1"/>
    <col min="3091" max="3091" width="6.28515625" style="138" hidden="1" customWidth="1"/>
    <col min="3092" max="3092" width="4" style="138" hidden="1" customWidth="1"/>
    <col min="3093" max="3093" width="8.7109375" style="138" hidden="1" customWidth="1"/>
    <col min="3094" max="3094" width="13.7109375" style="138" hidden="1" customWidth="1"/>
    <col min="3095" max="3095" width="20.7109375" style="138" hidden="1" customWidth="1"/>
    <col min="3096" max="3096" width="9.42578125" style="138" hidden="1" customWidth="1"/>
    <col min="3097" max="3097" width="3.28515625" style="138" hidden="1" customWidth="1"/>
    <col min="3098" max="3321" width="0" style="138" hidden="1"/>
    <col min="3322" max="3323" width="3.28515625" style="138" hidden="1" customWidth="1"/>
    <col min="3324" max="3324" width="30.7109375" style="138" hidden="1" customWidth="1"/>
    <col min="3325" max="3325" width="2.7109375" style="138" hidden="1" customWidth="1"/>
    <col min="3326" max="3326" width="12.85546875" style="138" hidden="1" customWidth="1"/>
    <col min="3327" max="3328" width="9.5703125" style="138" hidden="1" customWidth="1"/>
    <col min="3329" max="3329" width="7.42578125" style="138" hidden="1" customWidth="1"/>
    <col min="3330" max="3330" width="11.140625" style="138" hidden="1" customWidth="1"/>
    <col min="3331" max="3331" width="11.28515625" style="138" hidden="1" customWidth="1"/>
    <col min="3332" max="3332" width="11.7109375" style="138" hidden="1" customWidth="1"/>
    <col min="3333" max="3333" width="11.28515625" style="138" hidden="1" customWidth="1"/>
    <col min="3334" max="3334" width="10.7109375" style="138" hidden="1" customWidth="1"/>
    <col min="3335" max="3335" width="11.28515625" style="138" hidden="1" customWidth="1"/>
    <col min="3336" max="3336" width="11.42578125" style="138" hidden="1" customWidth="1"/>
    <col min="3337" max="3337" width="10.42578125" style="138" hidden="1" customWidth="1"/>
    <col min="3338" max="3338" width="11.28515625" style="138" hidden="1" customWidth="1"/>
    <col min="3339" max="3339" width="11.42578125" style="138" hidden="1" customWidth="1"/>
    <col min="3340" max="3340" width="10.7109375" style="138" hidden="1" customWidth="1"/>
    <col min="3341" max="3341" width="10.28515625" style="138" hidden="1" customWidth="1"/>
    <col min="3342" max="3342" width="11.5703125" style="138" hidden="1" customWidth="1"/>
    <col min="3343" max="3344" width="11.42578125" style="138" hidden="1" customWidth="1"/>
    <col min="3345" max="3345" width="10.85546875" style="138" hidden="1" customWidth="1"/>
    <col min="3346" max="3346" width="8.7109375" style="138" hidden="1" customWidth="1"/>
    <col min="3347" max="3347" width="6.28515625" style="138" hidden="1" customWidth="1"/>
    <col min="3348" max="3348" width="4" style="138" hidden="1" customWidth="1"/>
    <col min="3349" max="3349" width="8.7109375" style="138" hidden="1" customWidth="1"/>
    <col min="3350" max="3350" width="13.7109375" style="138" hidden="1" customWidth="1"/>
    <col min="3351" max="3351" width="20.7109375" style="138" hidden="1" customWidth="1"/>
    <col min="3352" max="3352" width="9.42578125" style="138" hidden="1" customWidth="1"/>
    <col min="3353" max="3353" width="3.28515625" style="138" hidden="1" customWidth="1"/>
    <col min="3354" max="3577" width="0" style="138" hidden="1"/>
    <col min="3578" max="3579" width="3.28515625" style="138" hidden="1" customWidth="1"/>
    <col min="3580" max="3580" width="30.7109375" style="138" hidden="1" customWidth="1"/>
    <col min="3581" max="3581" width="2.7109375" style="138" hidden="1" customWidth="1"/>
    <col min="3582" max="3582" width="12.85546875" style="138" hidden="1" customWidth="1"/>
    <col min="3583" max="3584" width="9.5703125" style="138" hidden="1" customWidth="1"/>
    <col min="3585" max="3585" width="7.42578125" style="138" hidden="1" customWidth="1"/>
    <col min="3586" max="3586" width="11.140625" style="138" hidden="1" customWidth="1"/>
    <col min="3587" max="3587" width="11.28515625" style="138" hidden="1" customWidth="1"/>
    <col min="3588" max="3588" width="11.7109375" style="138" hidden="1" customWidth="1"/>
    <col min="3589" max="3589" width="11.28515625" style="138" hidden="1" customWidth="1"/>
    <col min="3590" max="3590" width="10.7109375" style="138" hidden="1" customWidth="1"/>
    <col min="3591" max="3591" width="11.28515625" style="138" hidden="1" customWidth="1"/>
    <col min="3592" max="3592" width="11.42578125" style="138" hidden="1" customWidth="1"/>
    <col min="3593" max="3593" width="10.42578125" style="138" hidden="1" customWidth="1"/>
    <col min="3594" max="3594" width="11.28515625" style="138" hidden="1" customWidth="1"/>
    <col min="3595" max="3595" width="11.42578125" style="138" hidden="1" customWidth="1"/>
    <col min="3596" max="3596" width="10.7109375" style="138" hidden="1" customWidth="1"/>
    <col min="3597" max="3597" width="10.28515625" style="138" hidden="1" customWidth="1"/>
    <col min="3598" max="3598" width="11.5703125" style="138" hidden="1" customWidth="1"/>
    <col min="3599" max="3600" width="11.42578125" style="138" hidden="1" customWidth="1"/>
    <col min="3601" max="3601" width="10.85546875" style="138" hidden="1" customWidth="1"/>
    <col min="3602" max="3602" width="8.7109375" style="138" hidden="1" customWidth="1"/>
    <col min="3603" max="3603" width="6.28515625" style="138" hidden="1" customWidth="1"/>
    <col min="3604" max="3604" width="4" style="138" hidden="1" customWidth="1"/>
    <col min="3605" max="3605" width="8.7109375" style="138" hidden="1" customWidth="1"/>
    <col min="3606" max="3606" width="13.7109375" style="138" hidden="1" customWidth="1"/>
    <col min="3607" max="3607" width="20.7109375" style="138" hidden="1" customWidth="1"/>
    <col min="3608" max="3608" width="9.42578125" style="138" hidden="1" customWidth="1"/>
    <col min="3609" max="3609" width="3.28515625" style="138" hidden="1" customWidth="1"/>
    <col min="3610" max="3833" width="0" style="138" hidden="1"/>
    <col min="3834" max="3835" width="3.28515625" style="138" hidden="1" customWidth="1"/>
    <col min="3836" max="3836" width="30.7109375" style="138" hidden="1" customWidth="1"/>
    <col min="3837" max="3837" width="2.7109375" style="138" hidden="1" customWidth="1"/>
    <col min="3838" max="3838" width="12.85546875" style="138" hidden="1" customWidth="1"/>
    <col min="3839" max="3840" width="9.5703125" style="138" hidden="1" customWidth="1"/>
    <col min="3841" max="3841" width="7.42578125" style="138" hidden="1" customWidth="1"/>
    <col min="3842" max="3842" width="11.140625" style="138" hidden="1" customWidth="1"/>
    <col min="3843" max="3843" width="11.28515625" style="138" hidden="1" customWidth="1"/>
    <col min="3844" max="3844" width="11.7109375" style="138" hidden="1" customWidth="1"/>
    <col min="3845" max="3845" width="11.28515625" style="138" hidden="1" customWidth="1"/>
    <col min="3846" max="3846" width="10.7109375" style="138" hidden="1" customWidth="1"/>
    <col min="3847" max="3847" width="11.28515625" style="138" hidden="1" customWidth="1"/>
    <col min="3848" max="3848" width="11.42578125" style="138" hidden="1" customWidth="1"/>
    <col min="3849" max="3849" width="10.42578125" style="138" hidden="1" customWidth="1"/>
    <col min="3850" max="3850" width="11.28515625" style="138" hidden="1" customWidth="1"/>
    <col min="3851" max="3851" width="11.42578125" style="138" hidden="1" customWidth="1"/>
    <col min="3852" max="3852" width="10.7109375" style="138" hidden="1" customWidth="1"/>
    <col min="3853" max="3853" width="10.28515625" style="138" hidden="1" customWidth="1"/>
    <col min="3854" max="3854" width="11.5703125" style="138" hidden="1" customWidth="1"/>
    <col min="3855" max="3856" width="11.42578125" style="138" hidden="1" customWidth="1"/>
    <col min="3857" max="3857" width="10.85546875" style="138" hidden="1" customWidth="1"/>
    <col min="3858" max="3858" width="8.7109375" style="138" hidden="1" customWidth="1"/>
    <col min="3859" max="3859" width="6.28515625" style="138" hidden="1" customWidth="1"/>
    <col min="3860" max="3860" width="4" style="138" hidden="1" customWidth="1"/>
    <col min="3861" max="3861" width="8.7109375" style="138" hidden="1" customWidth="1"/>
    <col min="3862" max="3862" width="13.7109375" style="138" hidden="1" customWidth="1"/>
    <col min="3863" max="3863" width="20.7109375" style="138" hidden="1" customWidth="1"/>
    <col min="3864" max="3864" width="9.42578125" style="138" hidden="1" customWidth="1"/>
    <col min="3865" max="3865" width="3.28515625" style="138" hidden="1" customWidth="1"/>
    <col min="3866" max="4089" width="0" style="138" hidden="1"/>
    <col min="4090" max="4091" width="3.28515625" style="138" hidden="1" customWidth="1"/>
    <col min="4092" max="4092" width="30.7109375" style="138" hidden="1" customWidth="1"/>
    <col min="4093" max="4093" width="2.7109375" style="138" hidden="1" customWidth="1"/>
    <col min="4094" max="4094" width="12.85546875" style="138" hidden="1" customWidth="1"/>
    <col min="4095" max="4096" width="9.5703125" style="138" hidden="1" customWidth="1"/>
    <col min="4097" max="4097" width="7.42578125" style="138" hidden="1" customWidth="1"/>
    <col min="4098" max="4098" width="11.140625" style="138" hidden="1" customWidth="1"/>
    <col min="4099" max="4099" width="11.28515625" style="138" hidden="1" customWidth="1"/>
    <col min="4100" max="4100" width="11.7109375" style="138" hidden="1" customWidth="1"/>
    <col min="4101" max="4101" width="11.28515625" style="138" hidden="1" customWidth="1"/>
    <col min="4102" max="4102" width="10.7109375" style="138" hidden="1" customWidth="1"/>
    <col min="4103" max="4103" width="11.28515625" style="138" hidden="1" customWidth="1"/>
    <col min="4104" max="4104" width="11.42578125" style="138" hidden="1" customWidth="1"/>
    <col min="4105" max="4105" width="10.42578125" style="138" hidden="1" customWidth="1"/>
    <col min="4106" max="4106" width="11.28515625" style="138" hidden="1" customWidth="1"/>
    <col min="4107" max="4107" width="11.42578125" style="138" hidden="1" customWidth="1"/>
    <col min="4108" max="4108" width="10.7109375" style="138" hidden="1" customWidth="1"/>
    <col min="4109" max="4109" width="10.28515625" style="138" hidden="1" customWidth="1"/>
    <col min="4110" max="4110" width="11.5703125" style="138" hidden="1" customWidth="1"/>
    <col min="4111" max="4112" width="11.42578125" style="138" hidden="1" customWidth="1"/>
    <col min="4113" max="4113" width="10.85546875" style="138" hidden="1" customWidth="1"/>
    <col min="4114" max="4114" width="8.7109375" style="138" hidden="1" customWidth="1"/>
    <col min="4115" max="4115" width="6.28515625" style="138" hidden="1" customWidth="1"/>
    <col min="4116" max="4116" width="4" style="138" hidden="1" customWidth="1"/>
    <col min="4117" max="4117" width="8.7109375" style="138" hidden="1" customWidth="1"/>
    <col min="4118" max="4118" width="13.7109375" style="138" hidden="1" customWidth="1"/>
    <col min="4119" max="4119" width="20.7109375" style="138" hidden="1" customWidth="1"/>
    <col min="4120" max="4120" width="9.42578125" style="138" hidden="1" customWidth="1"/>
    <col min="4121" max="4121" width="3.28515625" style="138" hidden="1" customWidth="1"/>
    <col min="4122" max="4345" width="0" style="138" hidden="1"/>
    <col min="4346" max="4347" width="3.28515625" style="138" hidden="1" customWidth="1"/>
    <col min="4348" max="4348" width="30.7109375" style="138" hidden="1" customWidth="1"/>
    <col min="4349" max="4349" width="2.7109375" style="138" hidden="1" customWidth="1"/>
    <col min="4350" max="4350" width="12.85546875" style="138" hidden="1" customWidth="1"/>
    <col min="4351" max="4352" width="9.5703125" style="138" hidden="1" customWidth="1"/>
    <col min="4353" max="4353" width="7.42578125" style="138" hidden="1" customWidth="1"/>
    <col min="4354" max="4354" width="11.140625" style="138" hidden="1" customWidth="1"/>
    <col min="4355" max="4355" width="11.28515625" style="138" hidden="1" customWidth="1"/>
    <col min="4356" max="4356" width="11.7109375" style="138" hidden="1" customWidth="1"/>
    <col min="4357" max="4357" width="11.28515625" style="138" hidden="1" customWidth="1"/>
    <col min="4358" max="4358" width="10.7109375" style="138" hidden="1" customWidth="1"/>
    <col min="4359" max="4359" width="11.28515625" style="138" hidden="1" customWidth="1"/>
    <col min="4360" max="4360" width="11.42578125" style="138" hidden="1" customWidth="1"/>
    <col min="4361" max="4361" width="10.42578125" style="138" hidden="1" customWidth="1"/>
    <col min="4362" max="4362" width="11.28515625" style="138" hidden="1" customWidth="1"/>
    <col min="4363" max="4363" width="11.42578125" style="138" hidden="1" customWidth="1"/>
    <col min="4364" max="4364" width="10.7109375" style="138" hidden="1" customWidth="1"/>
    <col min="4365" max="4365" width="10.28515625" style="138" hidden="1" customWidth="1"/>
    <col min="4366" max="4366" width="11.5703125" style="138" hidden="1" customWidth="1"/>
    <col min="4367" max="4368" width="11.42578125" style="138" hidden="1" customWidth="1"/>
    <col min="4369" max="4369" width="10.85546875" style="138" hidden="1" customWidth="1"/>
    <col min="4370" max="4370" width="8.7109375" style="138" hidden="1" customWidth="1"/>
    <col min="4371" max="4371" width="6.28515625" style="138" hidden="1" customWidth="1"/>
    <col min="4372" max="4372" width="4" style="138" hidden="1" customWidth="1"/>
    <col min="4373" max="4373" width="8.7109375" style="138" hidden="1" customWidth="1"/>
    <col min="4374" max="4374" width="13.7109375" style="138" hidden="1" customWidth="1"/>
    <col min="4375" max="4375" width="20.7109375" style="138" hidden="1" customWidth="1"/>
    <col min="4376" max="4376" width="9.42578125" style="138" hidden="1" customWidth="1"/>
    <col min="4377" max="4377" width="3.28515625" style="138" hidden="1" customWidth="1"/>
    <col min="4378" max="4601" width="0" style="138" hidden="1"/>
    <col min="4602" max="4603" width="3.28515625" style="138" hidden="1" customWidth="1"/>
    <col min="4604" max="4604" width="30.7109375" style="138" hidden="1" customWidth="1"/>
    <col min="4605" max="4605" width="2.7109375" style="138" hidden="1" customWidth="1"/>
    <col min="4606" max="4606" width="12.85546875" style="138" hidden="1" customWidth="1"/>
    <col min="4607" max="4608" width="9.5703125" style="138" hidden="1" customWidth="1"/>
    <col min="4609" max="4609" width="7.42578125" style="138" hidden="1" customWidth="1"/>
    <col min="4610" max="4610" width="11.140625" style="138" hidden="1" customWidth="1"/>
    <col min="4611" max="4611" width="11.28515625" style="138" hidden="1" customWidth="1"/>
    <col min="4612" max="4612" width="11.7109375" style="138" hidden="1" customWidth="1"/>
    <col min="4613" max="4613" width="11.28515625" style="138" hidden="1" customWidth="1"/>
    <col min="4614" max="4614" width="10.7109375" style="138" hidden="1" customWidth="1"/>
    <col min="4615" max="4615" width="11.28515625" style="138" hidden="1" customWidth="1"/>
    <col min="4616" max="4616" width="11.42578125" style="138" hidden="1" customWidth="1"/>
    <col min="4617" max="4617" width="10.42578125" style="138" hidden="1" customWidth="1"/>
    <col min="4618" max="4618" width="11.28515625" style="138" hidden="1" customWidth="1"/>
    <col min="4619" max="4619" width="11.42578125" style="138" hidden="1" customWidth="1"/>
    <col min="4620" max="4620" width="10.7109375" style="138" hidden="1" customWidth="1"/>
    <col min="4621" max="4621" width="10.28515625" style="138" hidden="1" customWidth="1"/>
    <col min="4622" max="4622" width="11.5703125" style="138" hidden="1" customWidth="1"/>
    <col min="4623" max="4624" width="11.42578125" style="138" hidden="1" customWidth="1"/>
    <col min="4625" max="4625" width="10.85546875" style="138" hidden="1" customWidth="1"/>
    <col min="4626" max="4626" width="8.7109375" style="138" hidden="1" customWidth="1"/>
    <col min="4627" max="4627" width="6.28515625" style="138" hidden="1" customWidth="1"/>
    <col min="4628" max="4628" width="4" style="138" hidden="1" customWidth="1"/>
    <col min="4629" max="4629" width="8.7109375" style="138" hidden="1" customWidth="1"/>
    <col min="4630" max="4630" width="13.7109375" style="138" hidden="1" customWidth="1"/>
    <col min="4631" max="4631" width="20.7109375" style="138" hidden="1" customWidth="1"/>
    <col min="4632" max="4632" width="9.42578125" style="138" hidden="1" customWidth="1"/>
    <col min="4633" max="4633" width="3.28515625" style="138" hidden="1" customWidth="1"/>
    <col min="4634" max="4857" width="0" style="138" hidden="1"/>
    <col min="4858" max="4859" width="3.28515625" style="138" hidden="1" customWidth="1"/>
    <col min="4860" max="4860" width="30.7109375" style="138" hidden="1" customWidth="1"/>
    <col min="4861" max="4861" width="2.7109375" style="138" hidden="1" customWidth="1"/>
    <col min="4862" max="4862" width="12.85546875" style="138" hidden="1" customWidth="1"/>
    <col min="4863" max="4864" width="9.5703125" style="138" hidden="1" customWidth="1"/>
    <col min="4865" max="4865" width="7.42578125" style="138" hidden="1" customWidth="1"/>
    <col min="4866" max="4866" width="11.140625" style="138" hidden="1" customWidth="1"/>
    <col min="4867" max="4867" width="11.28515625" style="138" hidden="1" customWidth="1"/>
    <col min="4868" max="4868" width="11.7109375" style="138" hidden="1" customWidth="1"/>
    <col min="4869" max="4869" width="11.28515625" style="138" hidden="1" customWidth="1"/>
    <col min="4870" max="4870" width="10.7109375" style="138" hidden="1" customWidth="1"/>
    <col min="4871" max="4871" width="11.28515625" style="138" hidden="1" customWidth="1"/>
    <col min="4872" max="4872" width="11.42578125" style="138" hidden="1" customWidth="1"/>
    <col min="4873" max="4873" width="10.42578125" style="138" hidden="1" customWidth="1"/>
    <col min="4874" max="4874" width="11.28515625" style="138" hidden="1" customWidth="1"/>
    <col min="4875" max="4875" width="11.42578125" style="138" hidden="1" customWidth="1"/>
    <col min="4876" max="4876" width="10.7109375" style="138" hidden="1" customWidth="1"/>
    <col min="4877" max="4877" width="10.28515625" style="138" hidden="1" customWidth="1"/>
    <col min="4878" max="4878" width="11.5703125" style="138" hidden="1" customWidth="1"/>
    <col min="4879" max="4880" width="11.42578125" style="138" hidden="1" customWidth="1"/>
    <col min="4881" max="4881" width="10.85546875" style="138" hidden="1" customWidth="1"/>
    <col min="4882" max="4882" width="8.7109375" style="138" hidden="1" customWidth="1"/>
    <col min="4883" max="4883" width="6.28515625" style="138" hidden="1" customWidth="1"/>
    <col min="4884" max="4884" width="4" style="138" hidden="1" customWidth="1"/>
    <col min="4885" max="4885" width="8.7109375" style="138" hidden="1" customWidth="1"/>
    <col min="4886" max="4886" width="13.7109375" style="138" hidden="1" customWidth="1"/>
    <col min="4887" max="4887" width="20.7109375" style="138" hidden="1" customWidth="1"/>
    <col min="4888" max="4888" width="9.42578125" style="138" hidden="1" customWidth="1"/>
    <col min="4889" max="4889" width="3.28515625" style="138" hidden="1" customWidth="1"/>
    <col min="4890" max="5113" width="0" style="138" hidden="1"/>
    <col min="5114" max="5115" width="3.28515625" style="138" hidden="1" customWidth="1"/>
    <col min="5116" max="5116" width="30.7109375" style="138" hidden="1" customWidth="1"/>
    <col min="5117" max="5117" width="2.7109375" style="138" hidden="1" customWidth="1"/>
    <col min="5118" max="5118" width="12.85546875" style="138" hidden="1" customWidth="1"/>
    <col min="5119" max="5120" width="9.5703125" style="138" hidden="1" customWidth="1"/>
    <col min="5121" max="5121" width="7.42578125" style="138" hidden="1" customWidth="1"/>
    <col min="5122" max="5122" width="11.140625" style="138" hidden="1" customWidth="1"/>
    <col min="5123" max="5123" width="11.28515625" style="138" hidden="1" customWidth="1"/>
    <col min="5124" max="5124" width="11.7109375" style="138" hidden="1" customWidth="1"/>
    <col min="5125" max="5125" width="11.28515625" style="138" hidden="1" customWidth="1"/>
    <col min="5126" max="5126" width="10.7109375" style="138" hidden="1" customWidth="1"/>
    <col min="5127" max="5127" width="11.28515625" style="138" hidden="1" customWidth="1"/>
    <col min="5128" max="5128" width="11.42578125" style="138" hidden="1" customWidth="1"/>
    <col min="5129" max="5129" width="10.42578125" style="138" hidden="1" customWidth="1"/>
    <col min="5130" max="5130" width="11.28515625" style="138" hidden="1" customWidth="1"/>
    <col min="5131" max="5131" width="11.42578125" style="138" hidden="1" customWidth="1"/>
    <col min="5132" max="5132" width="10.7109375" style="138" hidden="1" customWidth="1"/>
    <col min="5133" max="5133" width="10.28515625" style="138" hidden="1" customWidth="1"/>
    <col min="5134" max="5134" width="11.5703125" style="138" hidden="1" customWidth="1"/>
    <col min="5135" max="5136" width="11.42578125" style="138" hidden="1" customWidth="1"/>
    <col min="5137" max="5137" width="10.85546875" style="138" hidden="1" customWidth="1"/>
    <col min="5138" max="5138" width="8.7109375" style="138" hidden="1" customWidth="1"/>
    <col min="5139" max="5139" width="6.28515625" style="138" hidden="1" customWidth="1"/>
    <col min="5140" max="5140" width="4" style="138" hidden="1" customWidth="1"/>
    <col min="5141" max="5141" width="8.7109375" style="138" hidden="1" customWidth="1"/>
    <col min="5142" max="5142" width="13.7109375" style="138" hidden="1" customWidth="1"/>
    <col min="5143" max="5143" width="20.7109375" style="138" hidden="1" customWidth="1"/>
    <col min="5144" max="5144" width="9.42578125" style="138" hidden="1" customWidth="1"/>
    <col min="5145" max="5145" width="3.28515625" style="138" hidden="1" customWidth="1"/>
    <col min="5146" max="5369" width="0" style="138" hidden="1"/>
    <col min="5370" max="5371" width="3.28515625" style="138" hidden="1" customWidth="1"/>
    <col min="5372" max="5372" width="30.7109375" style="138" hidden="1" customWidth="1"/>
    <col min="5373" max="5373" width="2.7109375" style="138" hidden="1" customWidth="1"/>
    <col min="5374" max="5374" width="12.85546875" style="138" hidden="1" customWidth="1"/>
    <col min="5375" max="5376" width="9.5703125" style="138" hidden="1" customWidth="1"/>
    <col min="5377" max="5377" width="7.42578125" style="138" hidden="1" customWidth="1"/>
    <col min="5378" max="5378" width="11.140625" style="138" hidden="1" customWidth="1"/>
    <col min="5379" max="5379" width="11.28515625" style="138" hidden="1" customWidth="1"/>
    <col min="5380" max="5380" width="11.7109375" style="138" hidden="1" customWidth="1"/>
    <col min="5381" max="5381" width="11.28515625" style="138" hidden="1" customWidth="1"/>
    <col min="5382" max="5382" width="10.7109375" style="138" hidden="1" customWidth="1"/>
    <col min="5383" max="5383" width="11.28515625" style="138" hidden="1" customWidth="1"/>
    <col min="5384" max="5384" width="11.42578125" style="138" hidden="1" customWidth="1"/>
    <col min="5385" max="5385" width="10.42578125" style="138" hidden="1" customWidth="1"/>
    <col min="5386" max="5386" width="11.28515625" style="138" hidden="1" customWidth="1"/>
    <col min="5387" max="5387" width="11.42578125" style="138" hidden="1" customWidth="1"/>
    <col min="5388" max="5388" width="10.7109375" style="138" hidden="1" customWidth="1"/>
    <col min="5389" max="5389" width="10.28515625" style="138" hidden="1" customWidth="1"/>
    <col min="5390" max="5390" width="11.5703125" style="138" hidden="1" customWidth="1"/>
    <col min="5391" max="5392" width="11.42578125" style="138" hidden="1" customWidth="1"/>
    <col min="5393" max="5393" width="10.85546875" style="138" hidden="1" customWidth="1"/>
    <col min="5394" max="5394" width="8.7109375" style="138" hidden="1" customWidth="1"/>
    <col min="5395" max="5395" width="6.28515625" style="138" hidden="1" customWidth="1"/>
    <col min="5396" max="5396" width="4" style="138" hidden="1" customWidth="1"/>
    <col min="5397" max="5397" width="8.7109375" style="138" hidden="1" customWidth="1"/>
    <col min="5398" max="5398" width="13.7109375" style="138" hidden="1" customWidth="1"/>
    <col min="5399" max="5399" width="20.7109375" style="138" hidden="1" customWidth="1"/>
    <col min="5400" max="5400" width="9.42578125" style="138" hidden="1" customWidth="1"/>
    <col min="5401" max="5401" width="3.28515625" style="138" hidden="1" customWidth="1"/>
    <col min="5402" max="5625" width="0" style="138" hidden="1"/>
    <col min="5626" max="5627" width="3.28515625" style="138" hidden="1" customWidth="1"/>
    <col min="5628" max="5628" width="30.7109375" style="138" hidden="1" customWidth="1"/>
    <col min="5629" max="5629" width="2.7109375" style="138" hidden="1" customWidth="1"/>
    <col min="5630" max="5630" width="12.85546875" style="138" hidden="1" customWidth="1"/>
    <col min="5631" max="5632" width="9.5703125" style="138" hidden="1" customWidth="1"/>
    <col min="5633" max="5633" width="7.42578125" style="138" hidden="1" customWidth="1"/>
    <col min="5634" max="5634" width="11.140625" style="138" hidden="1" customWidth="1"/>
    <col min="5635" max="5635" width="11.28515625" style="138" hidden="1" customWidth="1"/>
    <col min="5636" max="5636" width="11.7109375" style="138" hidden="1" customWidth="1"/>
    <col min="5637" max="5637" width="11.28515625" style="138" hidden="1" customWidth="1"/>
    <col min="5638" max="5638" width="10.7109375" style="138" hidden="1" customWidth="1"/>
    <col min="5639" max="5639" width="11.28515625" style="138" hidden="1" customWidth="1"/>
    <col min="5640" max="5640" width="11.42578125" style="138" hidden="1" customWidth="1"/>
    <col min="5641" max="5641" width="10.42578125" style="138" hidden="1" customWidth="1"/>
    <col min="5642" max="5642" width="11.28515625" style="138" hidden="1" customWidth="1"/>
    <col min="5643" max="5643" width="11.42578125" style="138" hidden="1" customWidth="1"/>
    <col min="5644" max="5644" width="10.7109375" style="138" hidden="1" customWidth="1"/>
    <col min="5645" max="5645" width="10.28515625" style="138" hidden="1" customWidth="1"/>
    <col min="5646" max="5646" width="11.5703125" style="138" hidden="1" customWidth="1"/>
    <col min="5647" max="5648" width="11.42578125" style="138" hidden="1" customWidth="1"/>
    <col min="5649" max="5649" width="10.85546875" style="138" hidden="1" customWidth="1"/>
    <col min="5650" max="5650" width="8.7109375" style="138" hidden="1" customWidth="1"/>
    <col min="5651" max="5651" width="6.28515625" style="138" hidden="1" customWidth="1"/>
    <col min="5652" max="5652" width="4" style="138" hidden="1" customWidth="1"/>
    <col min="5653" max="5653" width="8.7109375" style="138" hidden="1" customWidth="1"/>
    <col min="5654" max="5654" width="13.7109375" style="138" hidden="1" customWidth="1"/>
    <col min="5655" max="5655" width="20.7109375" style="138" hidden="1" customWidth="1"/>
    <col min="5656" max="5656" width="9.42578125" style="138" hidden="1" customWidth="1"/>
    <col min="5657" max="5657" width="3.28515625" style="138" hidden="1" customWidth="1"/>
    <col min="5658" max="5881" width="0" style="138" hidden="1"/>
    <col min="5882" max="5883" width="3.28515625" style="138" hidden="1" customWidth="1"/>
    <col min="5884" max="5884" width="30.7109375" style="138" hidden="1" customWidth="1"/>
    <col min="5885" max="5885" width="2.7109375" style="138" hidden="1" customWidth="1"/>
    <col min="5886" max="5886" width="12.85546875" style="138" hidden="1" customWidth="1"/>
    <col min="5887" max="5888" width="9.5703125" style="138" hidden="1" customWidth="1"/>
    <col min="5889" max="5889" width="7.42578125" style="138" hidden="1" customWidth="1"/>
    <col min="5890" max="5890" width="11.140625" style="138" hidden="1" customWidth="1"/>
    <col min="5891" max="5891" width="11.28515625" style="138" hidden="1" customWidth="1"/>
    <col min="5892" max="5892" width="11.7109375" style="138" hidden="1" customWidth="1"/>
    <col min="5893" max="5893" width="11.28515625" style="138" hidden="1" customWidth="1"/>
    <col min="5894" max="5894" width="10.7109375" style="138" hidden="1" customWidth="1"/>
    <col min="5895" max="5895" width="11.28515625" style="138" hidden="1" customWidth="1"/>
    <col min="5896" max="5896" width="11.42578125" style="138" hidden="1" customWidth="1"/>
    <col min="5897" max="5897" width="10.42578125" style="138" hidden="1" customWidth="1"/>
    <col min="5898" max="5898" width="11.28515625" style="138" hidden="1" customWidth="1"/>
    <col min="5899" max="5899" width="11.42578125" style="138" hidden="1" customWidth="1"/>
    <col min="5900" max="5900" width="10.7109375" style="138" hidden="1" customWidth="1"/>
    <col min="5901" max="5901" width="10.28515625" style="138" hidden="1" customWidth="1"/>
    <col min="5902" max="5902" width="11.5703125" style="138" hidden="1" customWidth="1"/>
    <col min="5903" max="5904" width="11.42578125" style="138" hidden="1" customWidth="1"/>
    <col min="5905" max="5905" width="10.85546875" style="138" hidden="1" customWidth="1"/>
    <col min="5906" max="5906" width="8.7109375" style="138" hidden="1" customWidth="1"/>
    <col min="5907" max="5907" width="6.28515625" style="138" hidden="1" customWidth="1"/>
    <col min="5908" max="5908" width="4" style="138" hidden="1" customWidth="1"/>
    <col min="5909" max="5909" width="8.7109375" style="138" hidden="1" customWidth="1"/>
    <col min="5910" max="5910" width="13.7109375" style="138" hidden="1" customWidth="1"/>
    <col min="5911" max="5911" width="20.7109375" style="138" hidden="1" customWidth="1"/>
    <col min="5912" max="5912" width="9.42578125" style="138" hidden="1" customWidth="1"/>
    <col min="5913" max="5913" width="3.28515625" style="138" hidden="1" customWidth="1"/>
    <col min="5914" max="6137" width="0" style="138" hidden="1"/>
    <col min="6138" max="6139" width="3.28515625" style="138" hidden="1" customWidth="1"/>
    <col min="6140" max="6140" width="30.7109375" style="138" hidden="1" customWidth="1"/>
    <col min="6141" max="6141" width="2.7109375" style="138" hidden="1" customWidth="1"/>
    <col min="6142" max="6142" width="12.85546875" style="138" hidden="1" customWidth="1"/>
    <col min="6143" max="6144" width="9.5703125" style="138" hidden="1" customWidth="1"/>
    <col min="6145" max="6145" width="7.42578125" style="138" hidden="1" customWidth="1"/>
    <col min="6146" max="6146" width="11.140625" style="138" hidden="1" customWidth="1"/>
    <col min="6147" max="6147" width="11.28515625" style="138" hidden="1" customWidth="1"/>
    <col min="6148" max="6148" width="11.7109375" style="138" hidden="1" customWidth="1"/>
    <col min="6149" max="6149" width="11.28515625" style="138" hidden="1" customWidth="1"/>
    <col min="6150" max="6150" width="10.7109375" style="138" hidden="1" customWidth="1"/>
    <col min="6151" max="6151" width="11.28515625" style="138" hidden="1" customWidth="1"/>
    <col min="6152" max="6152" width="11.42578125" style="138" hidden="1" customWidth="1"/>
    <col min="6153" max="6153" width="10.42578125" style="138" hidden="1" customWidth="1"/>
    <col min="6154" max="6154" width="11.28515625" style="138" hidden="1" customWidth="1"/>
    <col min="6155" max="6155" width="11.42578125" style="138" hidden="1" customWidth="1"/>
    <col min="6156" max="6156" width="10.7109375" style="138" hidden="1" customWidth="1"/>
    <col min="6157" max="6157" width="10.28515625" style="138" hidden="1" customWidth="1"/>
    <col min="6158" max="6158" width="11.5703125" style="138" hidden="1" customWidth="1"/>
    <col min="6159" max="6160" width="11.42578125" style="138" hidden="1" customWidth="1"/>
    <col min="6161" max="6161" width="10.85546875" style="138" hidden="1" customWidth="1"/>
    <col min="6162" max="6162" width="8.7109375" style="138" hidden="1" customWidth="1"/>
    <col min="6163" max="6163" width="6.28515625" style="138" hidden="1" customWidth="1"/>
    <col min="6164" max="6164" width="4" style="138" hidden="1" customWidth="1"/>
    <col min="6165" max="6165" width="8.7109375" style="138" hidden="1" customWidth="1"/>
    <col min="6166" max="6166" width="13.7109375" style="138" hidden="1" customWidth="1"/>
    <col min="6167" max="6167" width="20.7109375" style="138" hidden="1" customWidth="1"/>
    <col min="6168" max="6168" width="9.42578125" style="138" hidden="1" customWidth="1"/>
    <col min="6169" max="6169" width="3.28515625" style="138" hidden="1" customWidth="1"/>
    <col min="6170" max="6393" width="0" style="138" hidden="1"/>
    <col min="6394" max="6395" width="3.28515625" style="138" hidden="1" customWidth="1"/>
    <col min="6396" max="6396" width="30.7109375" style="138" hidden="1" customWidth="1"/>
    <col min="6397" max="6397" width="2.7109375" style="138" hidden="1" customWidth="1"/>
    <col min="6398" max="6398" width="12.85546875" style="138" hidden="1" customWidth="1"/>
    <col min="6399" max="6400" width="9.5703125" style="138" hidden="1" customWidth="1"/>
    <col min="6401" max="6401" width="7.42578125" style="138" hidden="1" customWidth="1"/>
    <col min="6402" max="6402" width="11.140625" style="138" hidden="1" customWidth="1"/>
    <col min="6403" max="6403" width="11.28515625" style="138" hidden="1" customWidth="1"/>
    <col min="6404" max="6404" width="11.7109375" style="138" hidden="1" customWidth="1"/>
    <col min="6405" max="6405" width="11.28515625" style="138" hidden="1" customWidth="1"/>
    <col min="6406" max="6406" width="10.7109375" style="138" hidden="1" customWidth="1"/>
    <col min="6407" max="6407" width="11.28515625" style="138" hidden="1" customWidth="1"/>
    <col min="6408" max="6408" width="11.42578125" style="138" hidden="1" customWidth="1"/>
    <col min="6409" max="6409" width="10.42578125" style="138" hidden="1" customWidth="1"/>
    <col min="6410" max="6410" width="11.28515625" style="138" hidden="1" customWidth="1"/>
    <col min="6411" max="6411" width="11.42578125" style="138" hidden="1" customWidth="1"/>
    <col min="6412" max="6412" width="10.7109375" style="138" hidden="1" customWidth="1"/>
    <col min="6413" max="6413" width="10.28515625" style="138" hidden="1" customWidth="1"/>
    <col min="6414" max="6414" width="11.5703125" style="138" hidden="1" customWidth="1"/>
    <col min="6415" max="6416" width="11.42578125" style="138" hidden="1" customWidth="1"/>
    <col min="6417" max="6417" width="10.85546875" style="138" hidden="1" customWidth="1"/>
    <col min="6418" max="6418" width="8.7109375" style="138" hidden="1" customWidth="1"/>
    <col min="6419" max="6419" width="6.28515625" style="138" hidden="1" customWidth="1"/>
    <col min="6420" max="6420" width="4" style="138" hidden="1" customWidth="1"/>
    <col min="6421" max="6421" width="8.7109375" style="138" hidden="1" customWidth="1"/>
    <col min="6422" max="6422" width="13.7109375" style="138" hidden="1" customWidth="1"/>
    <col min="6423" max="6423" width="20.7109375" style="138" hidden="1" customWidth="1"/>
    <col min="6424" max="6424" width="9.42578125" style="138" hidden="1" customWidth="1"/>
    <col min="6425" max="6425" width="3.28515625" style="138" hidden="1" customWidth="1"/>
    <col min="6426" max="6649" width="0" style="138" hidden="1"/>
    <col min="6650" max="6651" width="3.28515625" style="138" hidden="1" customWidth="1"/>
    <col min="6652" max="6652" width="30.7109375" style="138" hidden="1" customWidth="1"/>
    <col min="6653" max="6653" width="2.7109375" style="138" hidden="1" customWidth="1"/>
    <col min="6654" max="6654" width="12.85546875" style="138" hidden="1" customWidth="1"/>
    <col min="6655" max="6656" width="9.5703125" style="138" hidden="1" customWidth="1"/>
    <col min="6657" max="6657" width="7.42578125" style="138" hidden="1" customWidth="1"/>
    <col min="6658" max="6658" width="11.140625" style="138" hidden="1" customWidth="1"/>
    <col min="6659" max="6659" width="11.28515625" style="138" hidden="1" customWidth="1"/>
    <col min="6660" max="6660" width="11.7109375" style="138" hidden="1" customWidth="1"/>
    <col min="6661" max="6661" width="11.28515625" style="138" hidden="1" customWidth="1"/>
    <col min="6662" max="6662" width="10.7109375" style="138" hidden="1" customWidth="1"/>
    <col min="6663" max="6663" width="11.28515625" style="138" hidden="1" customWidth="1"/>
    <col min="6664" max="6664" width="11.42578125" style="138" hidden="1" customWidth="1"/>
    <col min="6665" max="6665" width="10.42578125" style="138" hidden="1" customWidth="1"/>
    <col min="6666" max="6666" width="11.28515625" style="138" hidden="1" customWidth="1"/>
    <col min="6667" max="6667" width="11.42578125" style="138" hidden="1" customWidth="1"/>
    <col min="6668" max="6668" width="10.7109375" style="138" hidden="1" customWidth="1"/>
    <col min="6669" max="6669" width="10.28515625" style="138" hidden="1" customWidth="1"/>
    <col min="6670" max="6670" width="11.5703125" style="138" hidden="1" customWidth="1"/>
    <col min="6671" max="6672" width="11.42578125" style="138" hidden="1" customWidth="1"/>
    <col min="6673" max="6673" width="10.85546875" style="138" hidden="1" customWidth="1"/>
    <col min="6674" max="6674" width="8.7109375" style="138" hidden="1" customWidth="1"/>
    <col min="6675" max="6675" width="6.28515625" style="138" hidden="1" customWidth="1"/>
    <col min="6676" max="6676" width="4" style="138" hidden="1" customWidth="1"/>
    <col min="6677" max="6677" width="8.7109375" style="138" hidden="1" customWidth="1"/>
    <col min="6678" max="6678" width="13.7109375" style="138" hidden="1" customWidth="1"/>
    <col min="6679" max="6679" width="20.7109375" style="138" hidden="1" customWidth="1"/>
    <col min="6680" max="6680" width="9.42578125" style="138" hidden="1" customWidth="1"/>
    <col min="6681" max="6681" width="3.28515625" style="138" hidden="1" customWidth="1"/>
    <col min="6682" max="6905" width="0" style="138" hidden="1"/>
    <col min="6906" max="6907" width="3.28515625" style="138" hidden="1" customWidth="1"/>
    <col min="6908" max="6908" width="30.7109375" style="138" hidden="1" customWidth="1"/>
    <col min="6909" max="6909" width="2.7109375" style="138" hidden="1" customWidth="1"/>
    <col min="6910" max="6910" width="12.85546875" style="138" hidden="1" customWidth="1"/>
    <col min="6911" max="6912" width="9.5703125" style="138" hidden="1" customWidth="1"/>
    <col min="6913" max="6913" width="7.42578125" style="138" hidden="1" customWidth="1"/>
    <col min="6914" max="6914" width="11.140625" style="138" hidden="1" customWidth="1"/>
    <col min="6915" max="6915" width="11.28515625" style="138" hidden="1" customWidth="1"/>
    <col min="6916" max="6916" width="11.7109375" style="138" hidden="1" customWidth="1"/>
    <col min="6917" max="6917" width="11.28515625" style="138" hidden="1" customWidth="1"/>
    <col min="6918" max="6918" width="10.7109375" style="138" hidden="1" customWidth="1"/>
    <col min="6919" max="6919" width="11.28515625" style="138" hidden="1" customWidth="1"/>
    <col min="6920" max="6920" width="11.42578125" style="138" hidden="1" customWidth="1"/>
    <col min="6921" max="6921" width="10.42578125" style="138" hidden="1" customWidth="1"/>
    <col min="6922" max="6922" width="11.28515625" style="138" hidden="1" customWidth="1"/>
    <col min="6923" max="6923" width="11.42578125" style="138" hidden="1" customWidth="1"/>
    <col min="6924" max="6924" width="10.7109375" style="138" hidden="1" customWidth="1"/>
    <col min="6925" max="6925" width="10.28515625" style="138" hidden="1" customWidth="1"/>
    <col min="6926" max="6926" width="11.5703125" style="138" hidden="1" customWidth="1"/>
    <col min="6927" max="6928" width="11.42578125" style="138" hidden="1" customWidth="1"/>
    <col min="6929" max="6929" width="10.85546875" style="138" hidden="1" customWidth="1"/>
    <col min="6930" max="6930" width="8.7109375" style="138" hidden="1" customWidth="1"/>
    <col min="6931" max="6931" width="6.28515625" style="138" hidden="1" customWidth="1"/>
    <col min="6932" max="6932" width="4" style="138" hidden="1" customWidth="1"/>
    <col min="6933" max="6933" width="8.7109375" style="138" hidden="1" customWidth="1"/>
    <col min="6934" max="6934" width="13.7109375" style="138" hidden="1" customWidth="1"/>
    <col min="6935" max="6935" width="20.7109375" style="138" hidden="1" customWidth="1"/>
    <col min="6936" max="6936" width="9.42578125" style="138" hidden="1" customWidth="1"/>
    <col min="6937" max="6937" width="3.28515625" style="138" hidden="1" customWidth="1"/>
    <col min="6938" max="7161" width="0" style="138" hidden="1"/>
    <col min="7162" max="7163" width="3.28515625" style="138" hidden="1" customWidth="1"/>
    <col min="7164" max="7164" width="30.7109375" style="138" hidden="1" customWidth="1"/>
    <col min="7165" max="7165" width="2.7109375" style="138" hidden="1" customWidth="1"/>
    <col min="7166" max="7166" width="12.85546875" style="138" hidden="1" customWidth="1"/>
    <col min="7167" max="7168" width="9.5703125" style="138" hidden="1" customWidth="1"/>
    <col min="7169" max="7169" width="7.42578125" style="138" hidden="1" customWidth="1"/>
    <col min="7170" max="7170" width="11.140625" style="138" hidden="1" customWidth="1"/>
    <col min="7171" max="7171" width="11.28515625" style="138" hidden="1" customWidth="1"/>
    <col min="7172" max="7172" width="11.7109375" style="138" hidden="1" customWidth="1"/>
    <col min="7173" max="7173" width="11.28515625" style="138" hidden="1" customWidth="1"/>
    <col min="7174" max="7174" width="10.7109375" style="138" hidden="1" customWidth="1"/>
    <col min="7175" max="7175" width="11.28515625" style="138" hidden="1" customWidth="1"/>
    <col min="7176" max="7176" width="11.42578125" style="138" hidden="1" customWidth="1"/>
    <col min="7177" max="7177" width="10.42578125" style="138" hidden="1" customWidth="1"/>
    <col min="7178" max="7178" width="11.28515625" style="138" hidden="1" customWidth="1"/>
    <col min="7179" max="7179" width="11.42578125" style="138" hidden="1" customWidth="1"/>
    <col min="7180" max="7180" width="10.7109375" style="138" hidden="1" customWidth="1"/>
    <col min="7181" max="7181" width="10.28515625" style="138" hidden="1" customWidth="1"/>
    <col min="7182" max="7182" width="11.5703125" style="138" hidden="1" customWidth="1"/>
    <col min="7183" max="7184" width="11.42578125" style="138" hidden="1" customWidth="1"/>
    <col min="7185" max="7185" width="10.85546875" style="138" hidden="1" customWidth="1"/>
    <col min="7186" max="7186" width="8.7109375" style="138" hidden="1" customWidth="1"/>
    <col min="7187" max="7187" width="6.28515625" style="138" hidden="1" customWidth="1"/>
    <col min="7188" max="7188" width="4" style="138" hidden="1" customWidth="1"/>
    <col min="7189" max="7189" width="8.7109375" style="138" hidden="1" customWidth="1"/>
    <col min="7190" max="7190" width="13.7109375" style="138" hidden="1" customWidth="1"/>
    <col min="7191" max="7191" width="20.7109375" style="138" hidden="1" customWidth="1"/>
    <col min="7192" max="7192" width="9.42578125" style="138" hidden="1" customWidth="1"/>
    <col min="7193" max="7193" width="3.28515625" style="138" hidden="1" customWidth="1"/>
    <col min="7194" max="7417" width="0" style="138" hidden="1"/>
    <col min="7418" max="7419" width="3.28515625" style="138" hidden="1" customWidth="1"/>
    <col min="7420" max="7420" width="30.7109375" style="138" hidden="1" customWidth="1"/>
    <col min="7421" max="7421" width="2.7109375" style="138" hidden="1" customWidth="1"/>
    <col min="7422" max="7422" width="12.85546875" style="138" hidden="1" customWidth="1"/>
    <col min="7423" max="7424" width="9.5703125" style="138" hidden="1" customWidth="1"/>
    <col min="7425" max="7425" width="7.42578125" style="138" hidden="1" customWidth="1"/>
    <col min="7426" max="7426" width="11.140625" style="138" hidden="1" customWidth="1"/>
    <col min="7427" max="7427" width="11.28515625" style="138" hidden="1" customWidth="1"/>
    <col min="7428" max="7428" width="11.7109375" style="138" hidden="1" customWidth="1"/>
    <col min="7429" max="7429" width="11.28515625" style="138" hidden="1" customWidth="1"/>
    <col min="7430" max="7430" width="10.7109375" style="138" hidden="1" customWidth="1"/>
    <col min="7431" max="7431" width="11.28515625" style="138" hidden="1" customWidth="1"/>
    <col min="7432" max="7432" width="11.42578125" style="138" hidden="1" customWidth="1"/>
    <col min="7433" max="7433" width="10.42578125" style="138" hidden="1" customWidth="1"/>
    <col min="7434" max="7434" width="11.28515625" style="138" hidden="1" customWidth="1"/>
    <col min="7435" max="7435" width="11.42578125" style="138" hidden="1" customWidth="1"/>
    <col min="7436" max="7436" width="10.7109375" style="138" hidden="1" customWidth="1"/>
    <col min="7437" max="7437" width="10.28515625" style="138" hidden="1" customWidth="1"/>
    <col min="7438" max="7438" width="11.5703125" style="138" hidden="1" customWidth="1"/>
    <col min="7439" max="7440" width="11.42578125" style="138" hidden="1" customWidth="1"/>
    <col min="7441" max="7441" width="10.85546875" style="138" hidden="1" customWidth="1"/>
    <col min="7442" max="7442" width="8.7109375" style="138" hidden="1" customWidth="1"/>
    <col min="7443" max="7443" width="6.28515625" style="138" hidden="1" customWidth="1"/>
    <col min="7444" max="7444" width="4" style="138" hidden="1" customWidth="1"/>
    <col min="7445" max="7445" width="8.7109375" style="138" hidden="1" customWidth="1"/>
    <col min="7446" max="7446" width="13.7109375" style="138" hidden="1" customWidth="1"/>
    <col min="7447" max="7447" width="20.7109375" style="138" hidden="1" customWidth="1"/>
    <col min="7448" max="7448" width="9.42578125" style="138" hidden="1" customWidth="1"/>
    <col min="7449" max="7449" width="3.28515625" style="138" hidden="1" customWidth="1"/>
    <col min="7450" max="7673" width="0" style="138" hidden="1"/>
    <col min="7674" max="7675" width="3.28515625" style="138" hidden="1" customWidth="1"/>
    <col min="7676" max="7676" width="30.7109375" style="138" hidden="1" customWidth="1"/>
    <col min="7677" max="7677" width="2.7109375" style="138" hidden="1" customWidth="1"/>
    <col min="7678" max="7678" width="12.85546875" style="138" hidden="1" customWidth="1"/>
    <col min="7679" max="7680" width="9.5703125" style="138" hidden="1" customWidth="1"/>
    <col min="7681" max="7681" width="7.42578125" style="138" hidden="1" customWidth="1"/>
    <col min="7682" max="7682" width="11.140625" style="138" hidden="1" customWidth="1"/>
    <col min="7683" max="7683" width="11.28515625" style="138" hidden="1" customWidth="1"/>
    <col min="7684" max="7684" width="11.7109375" style="138" hidden="1" customWidth="1"/>
    <col min="7685" max="7685" width="11.28515625" style="138" hidden="1" customWidth="1"/>
    <col min="7686" max="7686" width="10.7109375" style="138" hidden="1" customWidth="1"/>
    <col min="7687" max="7687" width="11.28515625" style="138" hidden="1" customWidth="1"/>
    <col min="7688" max="7688" width="11.42578125" style="138" hidden="1" customWidth="1"/>
    <col min="7689" max="7689" width="10.42578125" style="138" hidden="1" customWidth="1"/>
    <col min="7690" max="7690" width="11.28515625" style="138" hidden="1" customWidth="1"/>
    <col min="7691" max="7691" width="11.42578125" style="138" hidden="1" customWidth="1"/>
    <col min="7692" max="7692" width="10.7109375" style="138" hidden="1" customWidth="1"/>
    <col min="7693" max="7693" width="10.28515625" style="138" hidden="1" customWidth="1"/>
    <col min="7694" max="7694" width="11.5703125" style="138" hidden="1" customWidth="1"/>
    <col min="7695" max="7696" width="11.42578125" style="138" hidden="1" customWidth="1"/>
    <col min="7697" max="7697" width="10.85546875" style="138" hidden="1" customWidth="1"/>
    <col min="7698" max="7698" width="8.7109375" style="138" hidden="1" customWidth="1"/>
    <col min="7699" max="7699" width="6.28515625" style="138" hidden="1" customWidth="1"/>
    <col min="7700" max="7700" width="4" style="138" hidden="1" customWidth="1"/>
    <col min="7701" max="7701" width="8.7109375" style="138" hidden="1" customWidth="1"/>
    <col min="7702" max="7702" width="13.7109375" style="138" hidden="1" customWidth="1"/>
    <col min="7703" max="7703" width="20.7109375" style="138" hidden="1" customWidth="1"/>
    <col min="7704" max="7704" width="9.42578125" style="138" hidden="1" customWidth="1"/>
    <col min="7705" max="7705" width="3.28515625" style="138" hidden="1" customWidth="1"/>
    <col min="7706" max="7929" width="0" style="138" hidden="1"/>
    <col min="7930" max="7931" width="3.28515625" style="138" hidden="1" customWidth="1"/>
    <col min="7932" max="7932" width="30.7109375" style="138" hidden="1" customWidth="1"/>
    <col min="7933" max="7933" width="2.7109375" style="138" hidden="1" customWidth="1"/>
    <col min="7934" max="7934" width="12.85546875" style="138" hidden="1" customWidth="1"/>
    <col min="7935" max="7936" width="9.5703125" style="138" hidden="1" customWidth="1"/>
    <col min="7937" max="7937" width="7.42578125" style="138" hidden="1" customWidth="1"/>
    <col min="7938" max="7938" width="11.140625" style="138" hidden="1" customWidth="1"/>
    <col min="7939" max="7939" width="11.28515625" style="138" hidden="1" customWidth="1"/>
    <col min="7940" max="7940" width="11.7109375" style="138" hidden="1" customWidth="1"/>
    <col min="7941" max="7941" width="11.28515625" style="138" hidden="1" customWidth="1"/>
    <col min="7942" max="7942" width="10.7109375" style="138" hidden="1" customWidth="1"/>
    <col min="7943" max="7943" width="11.28515625" style="138" hidden="1" customWidth="1"/>
    <col min="7944" max="7944" width="11.42578125" style="138" hidden="1" customWidth="1"/>
    <col min="7945" max="7945" width="10.42578125" style="138" hidden="1" customWidth="1"/>
    <col min="7946" max="7946" width="11.28515625" style="138" hidden="1" customWidth="1"/>
    <col min="7947" max="7947" width="11.42578125" style="138" hidden="1" customWidth="1"/>
    <col min="7948" max="7948" width="10.7109375" style="138" hidden="1" customWidth="1"/>
    <col min="7949" max="7949" width="10.28515625" style="138" hidden="1" customWidth="1"/>
    <col min="7950" max="7950" width="11.5703125" style="138" hidden="1" customWidth="1"/>
    <col min="7951" max="7952" width="11.42578125" style="138" hidden="1" customWidth="1"/>
    <col min="7953" max="7953" width="10.85546875" style="138" hidden="1" customWidth="1"/>
    <col min="7954" max="7954" width="8.7109375" style="138" hidden="1" customWidth="1"/>
    <col min="7955" max="7955" width="6.28515625" style="138" hidden="1" customWidth="1"/>
    <col min="7956" max="7956" width="4" style="138" hidden="1" customWidth="1"/>
    <col min="7957" max="7957" width="8.7109375" style="138" hidden="1" customWidth="1"/>
    <col min="7958" max="7958" width="13.7109375" style="138" hidden="1" customWidth="1"/>
    <col min="7959" max="7959" width="20.7109375" style="138" hidden="1" customWidth="1"/>
    <col min="7960" max="7960" width="9.42578125" style="138" hidden="1" customWidth="1"/>
    <col min="7961" max="7961" width="3.28515625" style="138" hidden="1" customWidth="1"/>
    <col min="7962" max="8185" width="0" style="138" hidden="1"/>
    <col min="8186" max="8187" width="3.28515625" style="138" hidden="1" customWidth="1"/>
    <col min="8188" max="8188" width="30.7109375" style="138" hidden="1" customWidth="1"/>
    <col min="8189" max="8189" width="2.7109375" style="138" hidden="1" customWidth="1"/>
    <col min="8190" max="8190" width="12.85546875" style="138" hidden="1" customWidth="1"/>
    <col min="8191" max="8192" width="9.5703125" style="138" hidden="1" customWidth="1"/>
    <col min="8193" max="8193" width="7.42578125" style="138" hidden="1" customWidth="1"/>
    <col min="8194" max="8194" width="11.140625" style="138" hidden="1" customWidth="1"/>
    <col min="8195" max="8195" width="11.28515625" style="138" hidden="1" customWidth="1"/>
    <col min="8196" max="8196" width="11.7109375" style="138" hidden="1" customWidth="1"/>
    <col min="8197" max="8197" width="11.28515625" style="138" hidden="1" customWidth="1"/>
    <col min="8198" max="8198" width="10.7109375" style="138" hidden="1" customWidth="1"/>
    <col min="8199" max="8199" width="11.28515625" style="138" hidden="1" customWidth="1"/>
    <col min="8200" max="8200" width="11.42578125" style="138" hidden="1" customWidth="1"/>
    <col min="8201" max="8201" width="10.42578125" style="138" hidden="1" customWidth="1"/>
    <col min="8202" max="8202" width="11.28515625" style="138" hidden="1" customWidth="1"/>
    <col min="8203" max="8203" width="11.42578125" style="138" hidden="1" customWidth="1"/>
    <col min="8204" max="8204" width="10.7109375" style="138" hidden="1" customWidth="1"/>
    <col min="8205" max="8205" width="10.28515625" style="138" hidden="1" customWidth="1"/>
    <col min="8206" max="8206" width="11.5703125" style="138" hidden="1" customWidth="1"/>
    <col min="8207" max="8208" width="11.42578125" style="138" hidden="1" customWidth="1"/>
    <col min="8209" max="8209" width="10.85546875" style="138" hidden="1" customWidth="1"/>
    <col min="8210" max="8210" width="8.7109375" style="138" hidden="1" customWidth="1"/>
    <col min="8211" max="8211" width="6.28515625" style="138" hidden="1" customWidth="1"/>
    <col min="8212" max="8212" width="4" style="138" hidden="1" customWidth="1"/>
    <col min="8213" max="8213" width="8.7109375" style="138" hidden="1" customWidth="1"/>
    <col min="8214" max="8214" width="13.7109375" style="138" hidden="1" customWidth="1"/>
    <col min="8215" max="8215" width="20.7109375" style="138" hidden="1" customWidth="1"/>
    <col min="8216" max="8216" width="9.42578125" style="138" hidden="1" customWidth="1"/>
    <col min="8217" max="8217" width="3.28515625" style="138" hidden="1" customWidth="1"/>
    <col min="8218" max="8441" width="0" style="138" hidden="1"/>
    <col min="8442" max="8443" width="3.28515625" style="138" hidden="1" customWidth="1"/>
    <col min="8444" max="8444" width="30.7109375" style="138" hidden="1" customWidth="1"/>
    <col min="8445" max="8445" width="2.7109375" style="138" hidden="1" customWidth="1"/>
    <col min="8446" max="8446" width="12.85546875" style="138" hidden="1" customWidth="1"/>
    <col min="8447" max="8448" width="9.5703125" style="138" hidden="1" customWidth="1"/>
    <col min="8449" max="8449" width="7.42578125" style="138" hidden="1" customWidth="1"/>
    <col min="8450" max="8450" width="11.140625" style="138" hidden="1" customWidth="1"/>
    <col min="8451" max="8451" width="11.28515625" style="138" hidden="1" customWidth="1"/>
    <col min="8452" max="8452" width="11.7109375" style="138" hidden="1" customWidth="1"/>
    <col min="8453" max="8453" width="11.28515625" style="138" hidden="1" customWidth="1"/>
    <col min="8454" max="8454" width="10.7109375" style="138" hidden="1" customWidth="1"/>
    <col min="8455" max="8455" width="11.28515625" style="138" hidden="1" customWidth="1"/>
    <col min="8456" max="8456" width="11.42578125" style="138" hidden="1" customWidth="1"/>
    <col min="8457" max="8457" width="10.42578125" style="138" hidden="1" customWidth="1"/>
    <col min="8458" max="8458" width="11.28515625" style="138" hidden="1" customWidth="1"/>
    <col min="8459" max="8459" width="11.42578125" style="138" hidden="1" customWidth="1"/>
    <col min="8460" max="8460" width="10.7109375" style="138" hidden="1" customWidth="1"/>
    <col min="8461" max="8461" width="10.28515625" style="138" hidden="1" customWidth="1"/>
    <col min="8462" max="8462" width="11.5703125" style="138" hidden="1" customWidth="1"/>
    <col min="8463" max="8464" width="11.42578125" style="138" hidden="1" customWidth="1"/>
    <col min="8465" max="8465" width="10.85546875" style="138" hidden="1" customWidth="1"/>
    <col min="8466" max="8466" width="8.7109375" style="138" hidden="1" customWidth="1"/>
    <col min="8467" max="8467" width="6.28515625" style="138" hidden="1" customWidth="1"/>
    <col min="8468" max="8468" width="4" style="138" hidden="1" customWidth="1"/>
    <col min="8469" max="8469" width="8.7109375" style="138" hidden="1" customWidth="1"/>
    <col min="8470" max="8470" width="13.7109375" style="138" hidden="1" customWidth="1"/>
    <col min="8471" max="8471" width="20.7109375" style="138" hidden="1" customWidth="1"/>
    <col min="8472" max="8472" width="9.42578125" style="138" hidden="1" customWidth="1"/>
    <col min="8473" max="8473" width="3.28515625" style="138" hidden="1" customWidth="1"/>
    <col min="8474" max="8697" width="0" style="138" hidden="1"/>
    <col min="8698" max="8699" width="3.28515625" style="138" hidden="1" customWidth="1"/>
    <col min="8700" max="8700" width="30.7109375" style="138" hidden="1" customWidth="1"/>
    <col min="8701" max="8701" width="2.7109375" style="138" hidden="1" customWidth="1"/>
    <col min="8702" max="8702" width="12.85546875" style="138" hidden="1" customWidth="1"/>
    <col min="8703" max="8704" width="9.5703125" style="138" hidden="1" customWidth="1"/>
    <col min="8705" max="8705" width="7.42578125" style="138" hidden="1" customWidth="1"/>
    <col min="8706" max="8706" width="11.140625" style="138" hidden="1" customWidth="1"/>
    <col min="8707" max="8707" width="11.28515625" style="138" hidden="1" customWidth="1"/>
    <col min="8708" max="8708" width="11.7109375" style="138" hidden="1" customWidth="1"/>
    <col min="8709" max="8709" width="11.28515625" style="138" hidden="1" customWidth="1"/>
    <col min="8710" max="8710" width="10.7109375" style="138" hidden="1" customWidth="1"/>
    <col min="8711" max="8711" width="11.28515625" style="138" hidden="1" customWidth="1"/>
    <col min="8712" max="8712" width="11.42578125" style="138" hidden="1" customWidth="1"/>
    <col min="8713" max="8713" width="10.42578125" style="138" hidden="1" customWidth="1"/>
    <col min="8714" max="8714" width="11.28515625" style="138" hidden="1" customWidth="1"/>
    <col min="8715" max="8715" width="11.42578125" style="138" hidden="1" customWidth="1"/>
    <col min="8716" max="8716" width="10.7109375" style="138" hidden="1" customWidth="1"/>
    <col min="8717" max="8717" width="10.28515625" style="138" hidden="1" customWidth="1"/>
    <col min="8718" max="8718" width="11.5703125" style="138" hidden="1" customWidth="1"/>
    <col min="8719" max="8720" width="11.42578125" style="138" hidden="1" customWidth="1"/>
    <col min="8721" max="8721" width="10.85546875" style="138" hidden="1" customWidth="1"/>
    <col min="8722" max="8722" width="8.7109375" style="138" hidden="1" customWidth="1"/>
    <col min="8723" max="8723" width="6.28515625" style="138" hidden="1" customWidth="1"/>
    <col min="8724" max="8724" width="4" style="138" hidden="1" customWidth="1"/>
    <col min="8725" max="8725" width="8.7109375" style="138" hidden="1" customWidth="1"/>
    <col min="8726" max="8726" width="13.7109375" style="138" hidden="1" customWidth="1"/>
    <col min="8727" max="8727" width="20.7109375" style="138" hidden="1" customWidth="1"/>
    <col min="8728" max="8728" width="9.42578125" style="138" hidden="1" customWidth="1"/>
    <col min="8729" max="8729" width="3.28515625" style="138" hidden="1" customWidth="1"/>
    <col min="8730" max="8953" width="0" style="138" hidden="1"/>
    <col min="8954" max="8955" width="3.28515625" style="138" hidden="1" customWidth="1"/>
    <col min="8956" max="8956" width="30.7109375" style="138" hidden="1" customWidth="1"/>
    <col min="8957" max="8957" width="2.7109375" style="138" hidden="1" customWidth="1"/>
    <col min="8958" max="8958" width="12.85546875" style="138" hidden="1" customWidth="1"/>
    <col min="8959" max="8960" width="9.5703125" style="138" hidden="1" customWidth="1"/>
    <col min="8961" max="8961" width="7.42578125" style="138" hidden="1" customWidth="1"/>
    <col min="8962" max="8962" width="11.140625" style="138" hidden="1" customWidth="1"/>
    <col min="8963" max="8963" width="11.28515625" style="138" hidden="1" customWidth="1"/>
    <col min="8964" max="8964" width="11.7109375" style="138" hidden="1" customWidth="1"/>
    <col min="8965" max="8965" width="11.28515625" style="138" hidden="1" customWidth="1"/>
    <col min="8966" max="8966" width="10.7109375" style="138" hidden="1" customWidth="1"/>
    <col min="8967" max="8967" width="11.28515625" style="138" hidden="1" customWidth="1"/>
    <col min="8968" max="8968" width="11.42578125" style="138" hidden="1" customWidth="1"/>
    <col min="8969" max="8969" width="10.42578125" style="138" hidden="1" customWidth="1"/>
    <col min="8970" max="8970" width="11.28515625" style="138" hidden="1" customWidth="1"/>
    <col min="8971" max="8971" width="11.42578125" style="138" hidden="1" customWidth="1"/>
    <col min="8972" max="8972" width="10.7109375" style="138" hidden="1" customWidth="1"/>
    <col min="8973" max="8973" width="10.28515625" style="138" hidden="1" customWidth="1"/>
    <col min="8974" max="8974" width="11.5703125" style="138" hidden="1" customWidth="1"/>
    <col min="8975" max="8976" width="11.42578125" style="138" hidden="1" customWidth="1"/>
    <col min="8977" max="8977" width="10.85546875" style="138" hidden="1" customWidth="1"/>
    <col min="8978" max="8978" width="8.7109375" style="138" hidden="1" customWidth="1"/>
    <col min="8979" max="8979" width="6.28515625" style="138" hidden="1" customWidth="1"/>
    <col min="8980" max="8980" width="4" style="138" hidden="1" customWidth="1"/>
    <col min="8981" max="8981" width="8.7109375" style="138" hidden="1" customWidth="1"/>
    <col min="8982" max="8982" width="13.7109375" style="138" hidden="1" customWidth="1"/>
    <col min="8983" max="8983" width="20.7109375" style="138" hidden="1" customWidth="1"/>
    <col min="8984" max="8984" width="9.42578125" style="138" hidden="1" customWidth="1"/>
    <col min="8985" max="8985" width="3.28515625" style="138" hidden="1" customWidth="1"/>
    <col min="8986" max="9209" width="0" style="138" hidden="1"/>
    <col min="9210" max="9211" width="3.28515625" style="138" hidden="1" customWidth="1"/>
    <col min="9212" max="9212" width="30.7109375" style="138" hidden="1" customWidth="1"/>
    <col min="9213" max="9213" width="2.7109375" style="138" hidden="1" customWidth="1"/>
    <col min="9214" max="9214" width="12.85546875" style="138" hidden="1" customWidth="1"/>
    <col min="9215" max="9216" width="9.5703125" style="138" hidden="1" customWidth="1"/>
    <col min="9217" max="9217" width="7.42578125" style="138" hidden="1" customWidth="1"/>
    <col min="9218" max="9218" width="11.140625" style="138" hidden="1" customWidth="1"/>
    <col min="9219" max="9219" width="11.28515625" style="138" hidden="1" customWidth="1"/>
    <col min="9220" max="9220" width="11.7109375" style="138" hidden="1" customWidth="1"/>
    <col min="9221" max="9221" width="11.28515625" style="138" hidden="1" customWidth="1"/>
    <col min="9222" max="9222" width="10.7109375" style="138" hidden="1" customWidth="1"/>
    <col min="9223" max="9223" width="11.28515625" style="138" hidden="1" customWidth="1"/>
    <col min="9224" max="9224" width="11.42578125" style="138" hidden="1" customWidth="1"/>
    <col min="9225" max="9225" width="10.42578125" style="138" hidden="1" customWidth="1"/>
    <col min="9226" max="9226" width="11.28515625" style="138" hidden="1" customWidth="1"/>
    <col min="9227" max="9227" width="11.42578125" style="138" hidden="1" customWidth="1"/>
    <col min="9228" max="9228" width="10.7109375" style="138" hidden="1" customWidth="1"/>
    <col min="9229" max="9229" width="10.28515625" style="138" hidden="1" customWidth="1"/>
    <col min="9230" max="9230" width="11.5703125" style="138" hidden="1" customWidth="1"/>
    <col min="9231" max="9232" width="11.42578125" style="138" hidden="1" customWidth="1"/>
    <col min="9233" max="9233" width="10.85546875" style="138" hidden="1" customWidth="1"/>
    <col min="9234" max="9234" width="8.7109375" style="138" hidden="1" customWidth="1"/>
    <col min="9235" max="9235" width="6.28515625" style="138" hidden="1" customWidth="1"/>
    <col min="9236" max="9236" width="4" style="138" hidden="1" customWidth="1"/>
    <col min="9237" max="9237" width="8.7109375" style="138" hidden="1" customWidth="1"/>
    <col min="9238" max="9238" width="13.7109375" style="138" hidden="1" customWidth="1"/>
    <col min="9239" max="9239" width="20.7109375" style="138" hidden="1" customWidth="1"/>
    <col min="9240" max="9240" width="9.42578125" style="138" hidden="1" customWidth="1"/>
    <col min="9241" max="9241" width="3.28515625" style="138" hidden="1" customWidth="1"/>
    <col min="9242" max="9465" width="0" style="138" hidden="1"/>
    <col min="9466" max="9467" width="3.28515625" style="138" hidden="1" customWidth="1"/>
    <col min="9468" max="9468" width="30.7109375" style="138" hidden="1" customWidth="1"/>
    <col min="9469" max="9469" width="2.7109375" style="138" hidden="1" customWidth="1"/>
    <col min="9470" max="9470" width="12.85546875" style="138" hidden="1" customWidth="1"/>
    <col min="9471" max="9472" width="9.5703125" style="138" hidden="1" customWidth="1"/>
    <col min="9473" max="9473" width="7.42578125" style="138" hidden="1" customWidth="1"/>
    <col min="9474" max="9474" width="11.140625" style="138" hidden="1" customWidth="1"/>
    <col min="9475" max="9475" width="11.28515625" style="138" hidden="1" customWidth="1"/>
    <col min="9476" max="9476" width="11.7109375" style="138" hidden="1" customWidth="1"/>
    <col min="9477" max="9477" width="11.28515625" style="138" hidden="1" customWidth="1"/>
    <col min="9478" max="9478" width="10.7109375" style="138" hidden="1" customWidth="1"/>
    <col min="9479" max="9479" width="11.28515625" style="138" hidden="1" customWidth="1"/>
    <col min="9480" max="9480" width="11.42578125" style="138" hidden="1" customWidth="1"/>
    <col min="9481" max="9481" width="10.42578125" style="138" hidden="1" customWidth="1"/>
    <col min="9482" max="9482" width="11.28515625" style="138" hidden="1" customWidth="1"/>
    <col min="9483" max="9483" width="11.42578125" style="138" hidden="1" customWidth="1"/>
    <col min="9484" max="9484" width="10.7109375" style="138" hidden="1" customWidth="1"/>
    <col min="9485" max="9485" width="10.28515625" style="138" hidden="1" customWidth="1"/>
    <col min="9486" max="9486" width="11.5703125" style="138" hidden="1" customWidth="1"/>
    <col min="9487" max="9488" width="11.42578125" style="138" hidden="1" customWidth="1"/>
    <col min="9489" max="9489" width="10.85546875" style="138" hidden="1" customWidth="1"/>
    <col min="9490" max="9490" width="8.7109375" style="138" hidden="1" customWidth="1"/>
    <col min="9491" max="9491" width="6.28515625" style="138" hidden="1" customWidth="1"/>
    <col min="9492" max="9492" width="4" style="138" hidden="1" customWidth="1"/>
    <col min="9493" max="9493" width="8.7109375" style="138" hidden="1" customWidth="1"/>
    <col min="9494" max="9494" width="13.7109375" style="138" hidden="1" customWidth="1"/>
    <col min="9495" max="9495" width="20.7109375" style="138" hidden="1" customWidth="1"/>
    <col min="9496" max="9496" width="9.42578125" style="138" hidden="1" customWidth="1"/>
    <col min="9497" max="9497" width="3.28515625" style="138" hidden="1" customWidth="1"/>
    <col min="9498" max="9721" width="0" style="138" hidden="1"/>
    <col min="9722" max="9723" width="3.28515625" style="138" hidden="1" customWidth="1"/>
    <col min="9724" max="9724" width="30.7109375" style="138" hidden="1" customWidth="1"/>
    <col min="9725" max="9725" width="2.7109375" style="138" hidden="1" customWidth="1"/>
    <col min="9726" max="9726" width="12.85546875" style="138" hidden="1" customWidth="1"/>
    <col min="9727" max="9728" width="9.5703125" style="138" hidden="1" customWidth="1"/>
    <col min="9729" max="9729" width="7.42578125" style="138" hidden="1" customWidth="1"/>
    <col min="9730" max="9730" width="11.140625" style="138" hidden="1" customWidth="1"/>
    <col min="9731" max="9731" width="11.28515625" style="138" hidden="1" customWidth="1"/>
    <col min="9732" max="9732" width="11.7109375" style="138" hidden="1" customWidth="1"/>
    <col min="9733" max="9733" width="11.28515625" style="138" hidden="1" customWidth="1"/>
    <col min="9734" max="9734" width="10.7109375" style="138" hidden="1" customWidth="1"/>
    <col min="9735" max="9735" width="11.28515625" style="138" hidden="1" customWidth="1"/>
    <col min="9736" max="9736" width="11.42578125" style="138" hidden="1" customWidth="1"/>
    <col min="9737" max="9737" width="10.42578125" style="138" hidden="1" customWidth="1"/>
    <col min="9738" max="9738" width="11.28515625" style="138" hidden="1" customWidth="1"/>
    <col min="9739" max="9739" width="11.42578125" style="138" hidden="1" customWidth="1"/>
    <col min="9740" max="9740" width="10.7109375" style="138" hidden="1" customWidth="1"/>
    <col min="9741" max="9741" width="10.28515625" style="138" hidden="1" customWidth="1"/>
    <col min="9742" max="9742" width="11.5703125" style="138" hidden="1" customWidth="1"/>
    <col min="9743" max="9744" width="11.42578125" style="138" hidden="1" customWidth="1"/>
    <col min="9745" max="9745" width="10.85546875" style="138" hidden="1" customWidth="1"/>
    <col min="9746" max="9746" width="8.7109375" style="138" hidden="1" customWidth="1"/>
    <col min="9747" max="9747" width="6.28515625" style="138" hidden="1" customWidth="1"/>
    <col min="9748" max="9748" width="4" style="138" hidden="1" customWidth="1"/>
    <col min="9749" max="9749" width="8.7109375" style="138" hidden="1" customWidth="1"/>
    <col min="9750" max="9750" width="13.7109375" style="138" hidden="1" customWidth="1"/>
    <col min="9751" max="9751" width="20.7109375" style="138" hidden="1" customWidth="1"/>
    <col min="9752" max="9752" width="9.42578125" style="138" hidden="1" customWidth="1"/>
    <col min="9753" max="9753" width="3.28515625" style="138" hidden="1" customWidth="1"/>
    <col min="9754" max="9977" width="0" style="138" hidden="1"/>
    <col min="9978" max="9979" width="3.28515625" style="138" hidden="1" customWidth="1"/>
    <col min="9980" max="9980" width="30.7109375" style="138" hidden="1" customWidth="1"/>
    <col min="9981" max="9981" width="2.7109375" style="138" hidden="1" customWidth="1"/>
    <col min="9982" max="9982" width="12.85546875" style="138" hidden="1" customWidth="1"/>
    <col min="9983" max="9984" width="9.5703125" style="138" hidden="1" customWidth="1"/>
    <col min="9985" max="9985" width="7.42578125" style="138" hidden="1" customWidth="1"/>
    <col min="9986" max="9986" width="11.140625" style="138" hidden="1" customWidth="1"/>
    <col min="9987" max="9987" width="11.28515625" style="138" hidden="1" customWidth="1"/>
    <col min="9988" max="9988" width="11.7109375" style="138" hidden="1" customWidth="1"/>
    <col min="9989" max="9989" width="11.28515625" style="138" hidden="1" customWidth="1"/>
    <col min="9990" max="9990" width="10.7109375" style="138" hidden="1" customWidth="1"/>
    <col min="9991" max="9991" width="11.28515625" style="138" hidden="1" customWidth="1"/>
    <col min="9992" max="9992" width="11.42578125" style="138" hidden="1" customWidth="1"/>
    <col min="9993" max="9993" width="10.42578125" style="138" hidden="1" customWidth="1"/>
    <col min="9994" max="9994" width="11.28515625" style="138" hidden="1" customWidth="1"/>
    <col min="9995" max="9995" width="11.42578125" style="138" hidden="1" customWidth="1"/>
    <col min="9996" max="9996" width="10.7109375" style="138" hidden="1" customWidth="1"/>
    <col min="9997" max="9997" width="10.28515625" style="138" hidden="1" customWidth="1"/>
    <col min="9998" max="9998" width="11.5703125" style="138" hidden="1" customWidth="1"/>
    <col min="9999" max="10000" width="11.42578125" style="138" hidden="1" customWidth="1"/>
    <col min="10001" max="10001" width="10.85546875" style="138" hidden="1" customWidth="1"/>
    <col min="10002" max="10002" width="8.7109375" style="138" hidden="1" customWidth="1"/>
    <col min="10003" max="10003" width="6.28515625" style="138" hidden="1" customWidth="1"/>
    <col min="10004" max="10004" width="4" style="138" hidden="1" customWidth="1"/>
    <col min="10005" max="10005" width="8.7109375" style="138" hidden="1" customWidth="1"/>
    <col min="10006" max="10006" width="13.7109375" style="138" hidden="1" customWidth="1"/>
    <col min="10007" max="10007" width="20.7109375" style="138" hidden="1" customWidth="1"/>
    <col min="10008" max="10008" width="9.42578125" style="138" hidden="1" customWidth="1"/>
    <col min="10009" max="10009" width="3.28515625" style="138" hidden="1" customWidth="1"/>
    <col min="10010" max="10233" width="0" style="138" hidden="1"/>
    <col min="10234" max="10235" width="3.28515625" style="138" hidden="1" customWidth="1"/>
    <col min="10236" max="10236" width="30.7109375" style="138" hidden="1" customWidth="1"/>
    <col min="10237" max="10237" width="2.7109375" style="138" hidden="1" customWidth="1"/>
    <col min="10238" max="10238" width="12.85546875" style="138" hidden="1" customWidth="1"/>
    <col min="10239" max="10240" width="9.5703125" style="138" hidden="1" customWidth="1"/>
    <col min="10241" max="10241" width="7.42578125" style="138" hidden="1" customWidth="1"/>
    <col min="10242" max="10242" width="11.140625" style="138" hidden="1" customWidth="1"/>
    <col min="10243" max="10243" width="11.28515625" style="138" hidden="1" customWidth="1"/>
    <col min="10244" max="10244" width="11.7109375" style="138" hidden="1" customWidth="1"/>
    <col min="10245" max="10245" width="11.28515625" style="138" hidden="1" customWidth="1"/>
    <col min="10246" max="10246" width="10.7109375" style="138" hidden="1" customWidth="1"/>
    <col min="10247" max="10247" width="11.28515625" style="138" hidden="1" customWidth="1"/>
    <col min="10248" max="10248" width="11.42578125" style="138" hidden="1" customWidth="1"/>
    <col min="10249" max="10249" width="10.42578125" style="138" hidden="1" customWidth="1"/>
    <col min="10250" max="10250" width="11.28515625" style="138" hidden="1" customWidth="1"/>
    <col min="10251" max="10251" width="11.42578125" style="138" hidden="1" customWidth="1"/>
    <col min="10252" max="10252" width="10.7109375" style="138" hidden="1" customWidth="1"/>
    <col min="10253" max="10253" width="10.28515625" style="138" hidden="1" customWidth="1"/>
    <col min="10254" max="10254" width="11.5703125" style="138" hidden="1" customWidth="1"/>
    <col min="10255" max="10256" width="11.42578125" style="138" hidden="1" customWidth="1"/>
    <col min="10257" max="10257" width="10.85546875" style="138" hidden="1" customWidth="1"/>
    <col min="10258" max="10258" width="8.7109375" style="138" hidden="1" customWidth="1"/>
    <col min="10259" max="10259" width="6.28515625" style="138" hidden="1" customWidth="1"/>
    <col min="10260" max="10260" width="4" style="138" hidden="1" customWidth="1"/>
    <col min="10261" max="10261" width="8.7109375" style="138" hidden="1" customWidth="1"/>
    <col min="10262" max="10262" width="13.7109375" style="138" hidden="1" customWidth="1"/>
    <col min="10263" max="10263" width="20.7109375" style="138" hidden="1" customWidth="1"/>
    <col min="10264" max="10264" width="9.42578125" style="138" hidden="1" customWidth="1"/>
    <col min="10265" max="10265" width="3.28515625" style="138" hidden="1" customWidth="1"/>
    <col min="10266" max="10489" width="0" style="138" hidden="1"/>
    <col min="10490" max="10491" width="3.28515625" style="138" hidden="1" customWidth="1"/>
    <col min="10492" max="10492" width="30.7109375" style="138" hidden="1" customWidth="1"/>
    <col min="10493" max="10493" width="2.7109375" style="138" hidden="1" customWidth="1"/>
    <col min="10494" max="10494" width="12.85546875" style="138" hidden="1" customWidth="1"/>
    <col min="10495" max="10496" width="9.5703125" style="138" hidden="1" customWidth="1"/>
    <col min="10497" max="10497" width="7.42578125" style="138" hidden="1" customWidth="1"/>
    <col min="10498" max="10498" width="11.140625" style="138" hidden="1" customWidth="1"/>
    <col min="10499" max="10499" width="11.28515625" style="138" hidden="1" customWidth="1"/>
    <col min="10500" max="10500" width="11.7109375" style="138" hidden="1" customWidth="1"/>
    <col min="10501" max="10501" width="11.28515625" style="138" hidden="1" customWidth="1"/>
    <col min="10502" max="10502" width="10.7109375" style="138" hidden="1" customWidth="1"/>
    <col min="10503" max="10503" width="11.28515625" style="138" hidden="1" customWidth="1"/>
    <col min="10504" max="10504" width="11.42578125" style="138" hidden="1" customWidth="1"/>
    <col min="10505" max="10505" width="10.42578125" style="138" hidden="1" customWidth="1"/>
    <col min="10506" max="10506" width="11.28515625" style="138" hidden="1" customWidth="1"/>
    <col min="10507" max="10507" width="11.42578125" style="138" hidden="1" customWidth="1"/>
    <col min="10508" max="10508" width="10.7109375" style="138" hidden="1" customWidth="1"/>
    <col min="10509" max="10509" width="10.28515625" style="138" hidden="1" customWidth="1"/>
    <col min="10510" max="10510" width="11.5703125" style="138" hidden="1" customWidth="1"/>
    <col min="10511" max="10512" width="11.42578125" style="138" hidden="1" customWidth="1"/>
    <col min="10513" max="10513" width="10.85546875" style="138" hidden="1" customWidth="1"/>
    <col min="10514" max="10514" width="8.7109375" style="138" hidden="1" customWidth="1"/>
    <col min="10515" max="10515" width="6.28515625" style="138" hidden="1" customWidth="1"/>
    <col min="10516" max="10516" width="4" style="138" hidden="1" customWidth="1"/>
    <col min="10517" max="10517" width="8.7109375" style="138" hidden="1" customWidth="1"/>
    <col min="10518" max="10518" width="13.7109375" style="138" hidden="1" customWidth="1"/>
    <col min="10519" max="10519" width="20.7109375" style="138" hidden="1" customWidth="1"/>
    <col min="10520" max="10520" width="9.42578125" style="138" hidden="1" customWidth="1"/>
    <col min="10521" max="10521" width="3.28515625" style="138" hidden="1" customWidth="1"/>
    <col min="10522" max="10745" width="0" style="138" hidden="1"/>
    <col min="10746" max="10747" width="3.28515625" style="138" hidden="1" customWidth="1"/>
    <col min="10748" max="10748" width="30.7109375" style="138" hidden="1" customWidth="1"/>
    <col min="10749" max="10749" width="2.7109375" style="138" hidden="1" customWidth="1"/>
    <col min="10750" max="10750" width="12.85546875" style="138" hidden="1" customWidth="1"/>
    <col min="10751" max="10752" width="9.5703125" style="138" hidden="1" customWidth="1"/>
    <col min="10753" max="10753" width="7.42578125" style="138" hidden="1" customWidth="1"/>
    <col min="10754" max="10754" width="11.140625" style="138" hidden="1" customWidth="1"/>
    <col min="10755" max="10755" width="11.28515625" style="138" hidden="1" customWidth="1"/>
    <col min="10756" max="10756" width="11.7109375" style="138" hidden="1" customWidth="1"/>
    <col min="10757" max="10757" width="11.28515625" style="138" hidden="1" customWidth="1"/>
    <col min="10758" max="10758" width="10.7109375" style="138" hidden="1" customWidth="1"/>
    <col min="10759" max="10759" width="11.28515625" style="138" hidden="1" customWidth="1"/>
    <col min="10760" max="10760" width="11.42578125" style="138" hidden="1" customWidth="1"/>
    <col min="10761" max="10761" width="10.42578125" style="138" hidden="1" customWidth="1"/>
    <col min="10762" max="10762" width="11.28515625" style="138" hidden="1" customWidth="1"/>
    <col min="10763" max="10763" width="11.42578125" style="138" hidden="1" customWidth="1"/>
    <col min="10764" max="10764" width="10.7109375" style="138" hidden="1" customWidth="1"/>
    <col min="10765" max="10765" width="10.28515625" style="138" hidden="1" customWidth="1"/>
    <col min="10766" max="10766" width="11.5703125" style="138" hidden="1" customWidth="1"/>
    <col min="10767" max="10768" width="11.42578125" style="138" hidden="1" customWidth="1"/>
    <col min="10769" max="10769" width="10.85546875" style="138" hidden="1" customWidth="1"/>
    <col min="10770" max="10770" width="8.7109375" style="138" hidden="1" customWidth="1"/>
    <col min="10771" max="10771" width="6.28515625" style="138" hidden="1" customWidth="1"/>
    <col min="10772" max="10772" width="4" style="138" hidden="1" customWidth="1"/>
    <col min="10773" max="10773" width="8.7109375" style="138" hidden="1" customWidth="1"/>
    <col min="10774" max="10774" width="13.7109375" style="138" hidden="1" customWidth="1"/>
    <col min="10775" max="10775" width="20.7109375" style="138" hidden="1" customWidth="1"/>
    <col min="10776" max="10776" width="9.42578125" style="138" hidden="1" customWidth="1"/>
    <col min="10777" max="10777" width="3.28515625" style="138" hidden="1" customWidth="1"/>
    <col min="10778" max="11001" width="0" style="138" hidden="1"/>
    <col min="11002" max="11003" width="3.28515625" style="138" hidden="1" customWidth="1"/>
    <col min="11004" max="11004" width="30.7109375" style="138" hidden="1" customWidth="1"/>
    <col min="11005" max="11005" width="2.7109375" style="138" hidden="1" customWidth="1"/>
    <col min="11006" max="11006" width="12.85546875" style="138" hidden="1" customWidth="1"/>
    <col min="11007" max="11008" width="9.5703125" style="138" hidden="1" customWidth="1"/>
    <col min="11009" max="11009" width="7.42578125" style="138" hidden="1" customWidth="1"/>
    <col min="11010" max="11010" width="11.140625" style="138" hidden="1" customWidth="1"/>
    <col min="11011" max="11011" width="11.28515625" style="138" hidden="1" customWidth="1"/>
    <col min="11012" max="11012" width="11.7109375" style="138" hidden="1" customWidth="1"/>
    <col min="11013" max="11013" width="11.28515625" style="138" hidden="1" customWidth="1"/>
    <col min="11014" max="11014" width="10.7109375" style="138" hidden="1" customWidth="1"/>
    <col min="11015" max="11015" width="11.28515625" style="138" hidden="1" customWidth="1"/>
    <col min="11016" max="11016" width="11.42578125" style="138" hidden="1" customWidth="1"/>
    <col min="11017" max="11017" width="10.42578125" style="138" hidden="1" customWidth="1"/>
    <col min="11018" max="11018" width="11.28515625" style="138" hidden="1" customWidth="1"/>
    <col min="11019" max="11019" width="11.42578125" style="138" hidden="1" customWidth="1"/>
    <col min="11020" max="11020" width="10.7109375" style="138" hidden="1" customWidth="1"/>
    <col min="11021" max="11021" width="10.28515625" style="138" hidden="1" customWidth="1"/>
    <col min="11022" max="11022" width="11.5703125" style="138" hidden="1" customWidth="1"/>
    <col min="11023" max="11024" width="11.42578125" style="138" hidden="1" customWidth="1"/>
    <col min="11025" max="11025" width="10.85546875" style="138" hidden="1" customWidth="1"/>
    <col min="11026" max="11026" width="8.7109375" style="138" hidden="1" customWidth="1"/>
    <col min="11027" max="11027" width="6.28515625" style="138" hidden="1" customWidth="1"/>
    <col min="11028" max="11028" width="4" style="138" hidden="1" customWidth="1"/>
    <col min="11029" max="11029" width="8.7109375" style="138" hidden="1" customWidth="1"/>
    <col min="11030" max="11030" width="13.7109375" style="138" hidden="1" customWidth="1"/>
    <col min="11031" max="11031" width="20.7109375" style="138" hidden="1" customWidth="1"/>
    <col min="11032" max="11032" width="9.42578125" style="138" hidden="1" customWidth="1"/>
    <col min="11033" max="11033" width="3.28515625" style="138" hidden="1" customWidth="1"/>
    <col min="11034" max="11257" width="0" style="138" hidden="1"/>
    <col min="11258" max="11259" width="3.28515625" style="138" hidden="1" customWidth="1"/>
    <col min="11260" max="11260" width="30.7109375" style="138" hidden="1" customWidth="1"/>
    <col min="11261" max="11261" width="2.7109375" style="138" hidden="1" customWidth="1"/>
    <col min="11262" max="11262" width="12.85546875" style="138" hidden="1" customWidth="1"/>
    <col min="11263" max="11264" width="9.5703125" style="138" hidden="1" customWidth="1"/>
    <col min="11265" max="11265" width="7.42578125" style="138" hidden="1" customWidth="1"/>
    <col min="11266" max="11266" width="11.140625" style="138" hidden="1" customWidth="1"/>
    <col min="11267" max="11267" width="11.28515625" style="138" hidden="1" customWidth="1"/>
    <col min="11268" max="11268" width="11.7109375" style="138" hidden="1" customWidth="1"/>
    <col min="11269" max="11269" width="11.28515625" style="138" hidden="1" customWidth="1"/>
    <col min="11270" max="11270" width="10.7109375" style="138" hidden="1" customWidth="1"/>
    <col min="11271" max="11271" width="11.28515625" style="138" hidden="1" customWidth="1"/>
    <col min="11272" max="11272" width="11.42578125" style="138" hidden="1" customWidth="1"/>
    <col min="11273" max="11273" width="10.42578125" style="138" hidden="1" customWidth="1"/>
    <col min="11274" max="11274" width="11.28515625" style="138" hidden="1" customWidth="1"/>
    <col min="11275" max="11275" width="11.42578125" style="138" hidden="1" customWidth="1"/>
    <col min="11276" max="11276" width="10.7109375" style="138" hidden="1" customWidth="1"/>
    <col min="11277" max="11277" width="10.28515625" style="138" hidden="1" customWidth="1"/>
    <col min="11278" max="11278" width="11.5703125" style="138" hidden="1" customWidth="1"/>
    <col min="11279" max="11280" width="11.42578125" style="138" hidden="1" customWidth="1"/>
    <col min="11281" max="11281" width="10.85546875" style="138" hidden="1" customWidth="1"/>
    <col min="11282" max="11282" width="8.7109375" style="138" hidden="1" customWidth="1"/>
    <col min="11283" max="11283" width="6.28515625" style="138" hidden="1" customWidth="1"/>
    <col min="11284" max="11284" width="4" style="138" hidden="1" customWidth="1"/>
    <col min="11285" max="11285" width="8.7109375" style="138" hidden="1" customWidth="1"/>
    <col min="11286" max="11286" width="13.7109375" style="138" hidden="1" customWidth="1"/>
    <col min="11287" max="11287" width="20.7109375" style="138" hidden="1" customWidth="1"/>
    <col min="11288" max="11288" width="9.42578125" style="138" hidden="1" customWidth="1"/>
    <col min="11289" max="11289" width="3.28515625" style="138" hidden="1" customWidth="1"/>
    <col min="11290" max="11513" width="0" style="138" hidden="1"/>
    <col min="11514" max="11515" width="3.28515625" style="138" hidden="1" customWidth="1"/>
    <col min="11516" max="11516" width="30.7109375" style="138" hidden="1" customWidth="1"/>
    <col min="11517" max="11517" width="2.7109375" style="138" hidden="1" customWidth="1"/>
    <col min="11518" max="11518" width="12.85546875" style="138" hidden="1" customWidth="1"/>
    <col min="11519" max="11520" width="9.5703125" style="138" hidden="1" customWidth="1"/>
    <col min="11521" max="11521" width="7.42578125" style="138" hidden="1" customWidth="1"/>
    <col min="11522" max="11522" width="11.140625" style="138" hidden="1" customWidth="1"/>
    <col min="11523" max="11523" width="11.28515625" style="138" hidden="1" customWidth="1"/>
    <col min="11524" max="11524" width="11.7109375" style="138" hidden="1" customWidth="1"/>
    <col min="11525" max="11525" width="11.28515625" style="138" hidden="1" customWidth="1"/>
    <col min="11526" max="11526" width="10.7109375" style="138" hidden="1" customWidth="1"/>
    <col min="11527" max="11527" width="11.28515625" style="138" hidden="1" customWidth="1"/>
    <col min="11528" max="11528" width="11.42578125" style="138" hidden="1" customWidth="1"/>
    <col min="11529" max="11529" width="10.42578125" style="138" hidden="1" customWidth="1"/>
    <col min="11530" max="11530" width="11.28515625" style="138" hidden="1" customWidth="1"/>
    <col min="11531" max="11531" width="11.42578125" style="138" hidden="1" customWidth="1"/>
    <col min="11532" max="11532" width="10.7109375" style="138" hidden="1" customWidth="1"/>
    <col min="11533" max="11533" width="10.28515625" style="138" hidden="1" customWidth="1"/>
    <col min="11534" max="11534" width="11.5703125" style="138" hidden="1" customWidth="1"/>
    <col min="11535" max="11536" width="11.42578125" style="138" hidden="1" customWidth="1"/>
    <col min="11537" max="11537" width="10.85546875" style="138" hidden="1" customWidth="1"/>
    <col min="11538" max="11538" width="8.7109375" style="138" hidden="1" customWidth="1"/>
    <col min="11539" max="11539" width="6.28515625" style="138" hidden="1" customWidth="1"/>
    <col min="11540" max="11540" width="4" style="138" hidden="1" customWidth="1"/>
    <col min="11541" max="11541" width="8.7109375" style="138" hidden="1" customWidth="1"/>
    <col min="11542" max="11542" width="13.7109375" style="138" hidden="1" customWidth="1"/>
    <col min="11543" max="11543" width="20.7109375" style="138" hidden="1" customWidth="1"/>
    <col min="11544" max="11544" width="9.42578125" style="138" hidden="1" customWidth="1"/>
    <col min="11545" max="11545" width="3.28515625" style="138" hidden="1" customWidth="1"/>
    <col min="11546" max="11769" width="0" style="138" hidden="1"/>
    <col min="11770" max="11771" width="3.28515625" style="138" hidden="1" customWidth="1"/>
    <col min="11772" max="11772" width="30.7109375" style="138" hidden="1" customWidth="1"/>
    <col min="11773" max="11773" width="2.7109375" style="138" hidden="1" customWidth="1"/>
    <col min="11774" max="11774" width="12.85546875" style="138" hidden="1" customWidth="1"/>
    <col min="11775" max="11776" width="9.5703125" style="138" hidden="1" customWidth="1"/>
    <col min="11777" max="11777" width="7.42578125" style="138" hidden="1" customWidth="1"/>
    <col min="11778" max="11778" width="11.140625" style="138" hidden="1" customWidth="1"/>
    <col min="11779" max="11779" width="11.28515625" style="138" hidden="1" customWidth="1"/>
    <col min="11780" max="11780" width="11.7109375" style="138" hidden="1" customWidth="1"/>
    <col min="11781" max="11781" width="11.28515625" style="138" hidden="1" customWidth="1"/>
    <col min="11782" max="11782" width="10.7109375" style="138" hidden="1" customWidth="1"/>
    <col min="11783" max="11783" width="11.28515625" style="138" hidden="1" customWidth="1"/>
    <col min="11784" max="11784" width="11.42578125" style="138" hidden="1" customWidth="1"/>
    <col min="11785" max="11785" width="10.42578125" style="138" hidden="1" customWidth="1"/>
    <col min="11786" max="11786" width="11.28515625" style="138" hidden="1" customWidth="1"/>
    <col min="11787" max="11787" width="11.42578125" style="138" hidden="1" customWidth="1"/>
    <col min="11788" max="11788" width="10.7109375" style="138" hidden="1" customWidth="1"/>
    <col min="11789" max="11789" width="10.28515625" style="138" hidden="1" customWidth="1"/>
    <col min="11790" max="11790" width="11.5703125" style="138" hidden="1" customWidth="1"/>
    <col min="11791" max="11792" width="11.42578125" style="138" hidden="1" customWidth="1"/>
    <col min="11793" max="11793" width="10.85546875" style="138" hidden="1" customWidth="1"/>
    <col min="11794" max="11794" width="8.7109375" style="138" hidden="1" customWidth="1"/>
    <col min="11795" max="11795" width="6.28515625" style="138" hidden="1" customWidth="1"/>
    <col min="11796" max="11796" width="4" style="138" hidden="1" customWidth="1"/>
    <col min="11797" max="11797" width="8.7109375" style="138" hidden="1" customWidth="1"/>
    <col min="11798" max="11798" width="13.7109375" style="138" hidden="1" customWidth="1"/>
    <col min="11799" max="11799" width="20.7109375" style="138" hidden="1" customWidth="1"/>
    <col min="11800" max="11800" width="9.42578125" style="138" hidden="1" customWidth="1"/>
    <col min="11801" max="11801" width="3.28515625" style="138" hidden="1" customWidth="1"/>
    <col min="11802" max="12025" width="0" style="138" hidden="1"/>
    <col min="12026" max="12027" width="3.28515625" style="138" hidden="1" customWidth="1"/>
    <col min="12028" max="12028" width="30.7109375" style="138" hidden="1" customWidth="1"/>
    <col min="12029" max="12029" width="2.7109375" style="138" hidden="1" customWidth="1"/>
    <col min="12030" max="12030" width="12.85546875" style="138" hidden="1" customWidth="1"/>
    <col min="12031" max="12032" width="9.5703125" style="138" hidden="1" customWidth="1"/>
    <col min="12033" max="12033" width="7.42578125" style="138" hidden="1" customWidth="1"/>
    <col min="12034" max="12034" width="11.140625" style="138" hidden="1" customWidth="1"/>
    <col min="12035" max="12035" width="11.28515625" style="138" hidden="1" customWidth="1"/>
    <col min="12036" max="12036" width="11.7109375" style="138" hidden="1" customWidth="1"/>
    <col min="12037" max="12037" width="11.28515625" style="138" hidden="1" customWidth="1"/>
    <col min="12038" max="12038" width="10.7109375" style="138" hidden="1" customWidth="1"/>
    <col min="12039" max="12039" width="11.28515625" style="138" hidden="1" customWidth="1"/>
    <col min="12040" max="12040" width="11.42578125" style="138" hidden="1" customWidth="1"/>
    <col min="12041" max="12041" width="10.42578125" style="138" hidden="1" customWidth="1"/>
    <col min="12042" max="12042" width="11.28515625" style="138" hidden="1" customWidth="1"/>
    <col min="12043" max="12043" width="11.42578125" style="138" hidden="1" customWidth="1"/>
    <col min="12044" max="12044" width="10.7109375" style="138" hidden="1" customWidth="1"/>
    <col min="12045" max="12045" width="10.28515625" style="138" hidden="1" customWidth="1"/>
    <col min="12046" max="12046" width="11.5703125" style="138" hidden="1" customWidth="1"/>
    <col min="12047" max="12048" width="11.42578125" style="138" hidden="1" customWidth="1"/>
    <col min="12049" max="12049" width="10.85546875" style="138" hidden="1" customWidth="1"/>
    <col min="12050" max="12050" width="8.7109375" style="138" hidden="1" customWidth="1"/>
    <col min="12051" max="12051" width="6.28515625" style="138" hidden="1" customWidth="1"/>
    <col min="12052" max="12052" width="4" style="138" hidden="1" customWidth="1"/>
    <col min="12053" max="12053" width="8.7109375" style="138" hidden="1" customWidth="1"/>
    <col min="12054" max="12054" width="13.7109375" style="138" hidden="1" customWidth="1"/>
    <col min="12055" max="12055" width="20.7109375" style="138" hidden="1" customWidth="1"/>
    <col min="12056" max="12056" width="9.42578125" style="138" hidden="1" customWidth="1"/>
    <col min="12057" max="12057" width="3.28515625" style="138" hidden="1" customWidth="1"/>
    <col min="12058" max="12281" width="0" style="138" hidden="1"/>
    <col min="12282" max="12283" width="3.28515625" style="138" hidden="1" customWidth="1"/>
    <col min="12284" max="12284" width="30.7109375" style="138" hidden="1" customWidth="1"/>
    <col min="12285" max="12285" width="2.7109375" style="138" hidden="1" customWidth="1"/>
    <col min="12286" max="12286" width="12.85546875" style="138" hidden="1" customWidth="1"/>
    <col min="12287" max="12288" width="9.5703125" style="138" hidden="1" customWidth="1"/>
    <col min="12289" max="12289" width="7.42578125" style="138" hidden="1" customWidth="1"/>
    <col min="12290" max="12290" width="11.140625" style="138" hidden="1" customWidth="1"/>
    <col min="12291" max="12291" width="11.28515625" style="138" hidden="1" customWidth="1"/>
    <col min="12292" max="12292" width="11.7109375" style="138" hidden="1" customWidth="1"/>
    <col min="12293" max="12293" width="11.28515625" style="138" hidden="1" customWidth="1"/>
    <col min="12294" max="12294" width="10.7109375" style="138" hidden="1" customWidth="1"/>
    <col min="12295" max="12295" width="11.28515625" style="138" hidden="1" customWidth="1"/>
    <col min="12296" max="12296" width="11.42578125" style="138" hidden="1" customWidth="1"/>
    <col min="12297" max="12297" width="10.42578125" style="138" hidden="1" customWidth="1"/>
    <col min="12298" max="12298" width="11.28515625" style="138" hidden="1" customWidth="1"/>
    <col min="12299" max="12299" width="11.42578125" style="138" hidden="1" customWidth="1"/>
    <col min="12300" max="12300" width="10.7109375" style="138" hidden="1" customWidth="1"/>
    <col min="12301" max="12301" width="10.28515625" style="138" hidden="1" customWidth="1"/>
    <col min="12302" max="12302" width="11.5703125" style="138" hidden="1" customWidth="1"/>
    <col min="12303" max="12304" width="11.42578125" style="138" hidden="1" customWidth="1"/>
    <col min="12305" max="12305" width="10.85546875" style="138" hidden="1" customWidth="1"/>
    <col min="12306" max="12306" width="8.7109375" style="138" hidden="1" customWidth="1"/>
    <col min="12307" max="12307" width="6.28515625" style="138" hidden="1" customWidth="1"/>
    <col min="12308" max="12308" width="4" style="138" hidden="1" customWidth="1"/>
    <col min="12309" max="12309" width="8.7109375" style="138" hidden="1" customWidth="1"/>
    <col min="12310" max="12310" width="13.7109375" style="138" hidden="1" customWidth="1"/>
    <col min="12311" max="12311" width="20.7109375" style="138" hidden="1" customWidth="1"/>
    <col min="12312" max="12312" width="9.42578125" style="138" hidden="1" customWidth="1"/>
    <col min="12313" max="12313" width="3.28515625" style="138" hidden="1" customWidth="1"/>
    <col min="12314" max="12537" width="0" style="138" hidden="1"/>
    <col min="12538" max="12539" width="3.28515625" style="138" hidden="1" customWidth="1"/>
    <col min="12540" max="12540" width="30.7109375" style="138" hidden="1" customWidth="1"/>
    <col min="12541" max="12541" width="2.7109375" style="138" hidden="1" customWidth="1"/>
    <col min="12542" max="12542" width="12.85546875" style="138" hidden="1" customWidth="1"/>
    <col min="12543" max="12544" width="9.5703125" style="138" hidden="1" customWidth="1"/>
    <col min="12545" max="12545" width="7.42578125" style="138" hidden="1" customWidth="1"/>
    <col min="12546" max="12546" width="11.140625" style="138" hidden="1" customWidth="1"/>
    <col min="12547" max="12547" width="11.28515625" style="138" hidden="1" customWidth="1"/>
    <col min="12548" max="12548" width="11.7109375" style="138" hidden="1" customWidth="1"/>
    <col min="12549" max="12549" width="11.28515625" style="138" hidden="1" customWidth="1"/>
    <col min="12550" max="12550" width="10.7109375" style="138" hidden="1" customWidth="1"/>
    <col min="12551" max="12551" width="11.28515625" style="138" hidden="1" customWidth="1"/>
    <col min="12552" max="12552" width="11.42578125" style="138" hidden="1" customWidth="1"/>
    <col min="12553" max="12553" width="10.42578125" style="138" hidden="1" customWidth="1"/>
    <col min="12554" max="12554" width="11.28515625" style="138" hidden="1" customWidth="1"/>
    <col min="12555" max="12555" width="11.42578125" style="138" hidden="1" customWidth="1"/>
    <col min="12556" max="12556" width="10.7109375" style="138" hidden="1" customWidth="1"/>
    <col min="12557" max="12557" width="10.28515625" style="138" hidden="1" customWidth="1"/>
    <col min="12558" max="12558" width="11.5703125" style="138" hidden="1" customWidth="1"/>
    <col min="12559" max="12560" width="11.42578125" style="138" hidden="1" customWidth="1"/>
    <col min="12561" max="12561" width="10.85546875" style="138" hidden="1" customWidth="1"/>
    <col min="12562" max="12562" width="8.7109375" style="138" hidden="1" customWidth="1"/>
    <col min="12563" max="12563" width="6.28515625" style="138" hidden="1" customWidth="1"/>
    <col min="12564" max="12564" width="4" style="138" hidden="1" customWidth="1"/>
    <col min="12565" max="12565" width="8.7109375" style="138" hidden="1" customWidth="1"/>
    <col min="12566" max="12566" width="13.7109375" style="138" hidden="1" customWidth="1"/>
    <col min="12567" max="12567" width="20.7109375" style="138" hidden="1" customWidth="1"/>
    <col min="12568" max="12568" width="9.42578125" style="138" hidden="1" customWidth="1"/>
    <col min="12569" max="12569" width="3.28515625" style="138" hidden="1" customWidth="1"/>
    <col min="12570" max="12793" width="0" style="138" hidden="1"/>
    <col min="12794" max="12795" width="3.28515625" style="138" hidden="1" customWidth="1"/>
    <col min="12796" max="12796" width="30.7109375" style="138" hidden="1" customWidth="1"/>
    <col min="12797" max="12797" width="2.7109375" style="138" hidden="1" customWidth="1"/>
    <col min="12798" max="12798" width="12.85546875" style="138" hidden="1" customWidth="1"/>
    <col min="12799" max="12800" width="9.5703125" style="138" hidden="1" customWidth="1"/>
    <col min="12801" max="12801" width="7.42578125" style="138" hidden="1" customWidth="1"/>
    <col min="12802" max="12802" width="11.140625" style="138" hidden="1" customWidth="1"/>
    <col min="12803" max="12803" width="11.28515625" style="138" hidden="1" customWidth="1"/>
    <col min="12804" max="12804" width="11.7109375" style="138" hidden="1" customWidth="1"/>
    <col min="12805" max="12805" width="11.28515625" style="138" hidden="1" customWidth="1"/>
    <col min="12806" max="12806" width="10.7109375" style="138" hidden="1" customWidth="1"/>
    <col min="12807" max="12807" width="11.28515625" style="138" hidden="1" customWidth="1"/>
    <col min="12808" max="12808" width="11.42578125" style="138" hidden="1" customWidth="1"/>
    <col min="12809" max="12809" width="10.42578125" style="138" hidden="1" customWidth="1"/>
    <col min="12810" max="12810" width="11.28515625" style="138" hidden="1" customWidth="1"/>
    <col min="12811" max="12811" width="11.42578125" style="138" hidden="1" customWidth="1"/>
    <col min="12812" max="12812" width="10.7109375" style="138" hidden="1" customWidth="1"/>
    <col min="12813" max="12813" width="10.28515625" style="138" hidden="1" customWidth="1"/>
    <col min="12814" max="12814" width="11.5703125" style="138" hidden="1" customWidth="1"/>
    <col min="12815" max="12816" width="11.42578125" style="138" hidden="1" customWidth="1"/>
    <col min="12817" max="12817" width="10.85546875" style="138" hidden="1" customWidth="1"/>
    <col min="12818" max="12818" width="8.7109375" style="138" hidden="1" customWidth="1"/>
    <col min="12819" max="12819" width="6.28515625" style="138" hidden="1" customWidth="1"/>
    <col min="12820" max="12820" width="4" style="138" hidden="1" customWidth="1"/>
    <col min="12821" max="12821" width="8.7109375" style="138" hidden="1" customWidth="1"/>
    <col min="12822" max="12822" width="13.7109375" style="138" hidden="1" customWidth="1"/>
    <col min="12823" max="12823" width="20.7109375" style="138" hidden="1" customWidth="1"/>
    <col min="12824" max="12824" width="9.42578125" style="138" hidden="1" customWidth="1"/>
    <col min="12825" max="12825" width="3.28515625" style="138" hidden="1" customWidth="1"/>
    <col min="12826" max="13049" width="0" style="138" hidden="1"/>
    <col min="13050" max="13051" width="3.28515625" style="138" hidden="1" customWidth="1"/>
    <col min="13052" max="13052" width="30.7109375" style="138" hidden="1" customWidth="1"/>
    <col min="13053" max="13053" width="2.7109375" style="138" hidden="1" customWidth="1"/>
    <col min="13054" max="13054" width="12.85546875" style="138" hidden="1" customWidth="1"/>
    <col min="13055" max="13056" width="9.5703125" style="138" hidden="1" customWidth="1"/>
    <col min="13057" max="13057" width="7.42578125" style="138" hidden="1" customWidth="1"/>
    <col min="13058" max="13058" width="11.140625" style="138" hidden="1" customWidth="1"/>
    <col min="13059" max="13059" width="11.28515625" style="138" hidden="1" customWidth="1"/>
    <col min="13060" max="13060" width="11.7109375" style="138" hidden="1" customWidth="1"/>
    <col min="13061" max="13061" width="11.28515625" style="138" hidden="1" customWidth="1"/>
    <col min="13062" max="13062" width="10.7109375" style="138" hidden="1" customWidth="1"/>
    <col min="13063" max="13063" width="11.28515625" style="138" hidden="1" customWidth="1"/>
    <col min="13064" max="13064" width="11.42578125" style="138" hidden="1" customWidth="1"/>
    <col min="13065" max="13065" width="10.42578125" style="138" hidden="1" customWidth="1"/>
    <col min="13066" max="13066" width="11.28515625" style="138" hidden="1" customWidth="1"/>
    <col min="13067" max="13067" width="11.42578125" style="138" hidden="1" customWidth="1"/>
    <col min="13068" max="13068" width="10.7109375" style="138" hidden="1" customWidth="1"/>
    <col min="13069" max="13069" width="10.28515625" style="138" hidden="1" customWidth="1"/>
    <col min="13070" max="13070" width="11.5703125" style="138" hidden="1" customWidth="1"/>
    <col min="13071" max="13072" width="11.42578125" style="138" hidden="1" customWidth="1"/>
    <col min="13073" max="13073" width="10.85546875" style="138" hidden="1" customWidth="1"/>
    <col min="13074" max="13074" width="8.7109375" style="138" hidden="1" customWidth="1"/>
    <col min="13075" max="13075" width="6.28515625" style="138" hidden="1" customWidth="1"/>
    <col min="13076" max="13076" width="4" style="138" hidden="1" customWidth="1"/>
    <col min="13077" max="13077" width="8.7109375" style="138" hidden="1" customWidth="1"/>
    <col min="13078" max="13078" width="13.7109375" style="138" hidden="1" customWidth="1"/>
    <col min="13079" max="13079" width="20.7109375" style="138" hidden="1" customWidth="1"/>
    <col min="13080" max="13080" width="9.42578125" style="138" hidden="1" customWidth="1"/>
    <col min="13081" max="13081" width="3.28515625" style="138" hidden="1" customWidth="1"/>
    <col min="13082" max="13305" width="0" style="138" hidden="1"/>
    <col min="13306" max="13307" width="3.28515625" style="138" hidden="1" customWidth="1"/>
    <col min="13308" max="13308" width="30.7109375" style="138" hidden="1" customWidth="1"/>
    <col min="13309" max="13309" width="2.7109375" style="138" hidden="1" customWidth="1"/>
    <col min="13310" max="13310" width="12.85546875" style="138" hidden="1" customWidth="1"/>
    <col min="13311" max="13312" width="9.5703125" style="138" hidden="1" customWidth="1"/>
    <col min="13313" max="13313" width="7.42578125" style="138" hidden="1" customWidth="1"/>
    <col min="13314" max="13314" width="11.140625" style="138" hidden="1" customWidth="1"/>
    <col min="13315" max="13315" width="11.28515625" style="138" hidden="1" customWidth="1"/>
    <col min="13316" max="13316" width="11.7109375" style="138" hidden="1" customWidth="1"/>
    <col min="13317" max="13317" width="11.28515625" style="138" hidden="1" customWidth="1"/>
    <col min="13318" max="13318" width="10.7109375" style="138" hidden="1" customWidth="1"/>
    <col min="13319" max="13319" width="11.28515625" style="138" hidden="1" customWidth="1"/>
    <col min="13320" max="13320" width="11.42578125" style="138" hidden="1" customWidth="1"/>
    <col min="13321" max="13321" width="10.42578125" style="138" hidden="1" customWidth="1"/>
    <col min="13322" max="13322" width="11.28515625" style="138" hidden="1" customWidth="1"/>
    <col min="13323" max="13323" width="11.42578125" style="138" hidden="1" customWidth="1"/>
    <col min="13324" max="13324" width="10.7109375" style="138" hidden="1" customWidth="1"/>
    <col min="13325" max="13325" width="10.28515625" style="138" hidden="1" customWidth="1"/>
    <col min="13326" max="13326" width="11.5703125" style="138" hidden="1" customWidth="1"/>
    <col min="13327" max="13328" width="11.42578125" style="138" hidden="1" customWidth="1"/>
    <col min="13329" max="13329" width="10.85546875" style="138" hidden="1" customWidth="1"/>
    <col min="13330" max="13330" width="8.7109375" style="138" hidden="1" customWidth="1"/>
    <col min="13331" max="13331" width="6.28515625" style="138" hidden="1" customWidth="1"/>
    <col min="13332" max="13332" width="4" style="138" hidden="1" customWidth="1"/>
    <col min="13333" max="13333" width="8.7109375" style="138" hidden="1" customWidth="1"/>
    <col min="13334" max="13334" width="13.7109375" style="138" hidden="1" customWidth="1"/>
    <col min="13335" max="13335" width="20.7109375" style="138" hidden="1" customWidth="1"/>
    <col min="13336" max="13336" width="9.42578125" style="138" hidden="1" customWidth="1"/>
    <col min="13337" max="13337" width="3.28515625" style="138" hidden="1" customWidth="1"/>
    <col min="13338" max="13561" width="0" style="138" hidden="1"/>
    <col min="13562" max="13563" width="3.28515625" style="138" hidden="1" customWidth="1"/>
    <col min="13564" max="13564" width="30.7109375" style="138" hidden="1" customWidth="1"/>
    <col min="13565" max="13565" width="2.7109375" style="138" hidden="1" customWidth="1"/>
    <col min="13566" max="13566" width="12.85546875" style="138" hidden="1" customWidth="1"/>
    <col min="13567" max="13568" width="9.5703125" style="138" hidden="1" customWidth="1"/>
    <col min="13569" max="13569" width="7.42578125" style="138" hidden="1" customWidth="1"/>
    <col min="13570" max="13570" width="11.140625" style="138" hidden="1" customWidth="1"/>
    <col min="13571" max="13571" width="11.28515625" style="138" hidden="1" customWidth="1"/>
    <col min="13572" max="13572" width="11.7109375" style="138" hidden="1" customWidth="1"/>
    <col min="13573" max="13573" width="11.28515625" style="138" hidden="1" customWidth="1"/>
    <col min="13574" max="13574" width="10.7109375" style="138" hidden="1" customWidth="1"/>
    <col min="13575" max="13575" width="11.28515625" style="138" hidden="1" customWidth="1"/>
    <col min="13576" max="13576" width="11.42578125" style="138" hidden="1" customWidth="1"/>
    <col min="13577" max="13577" width="10.42578125" style="138" hidden="1" customWidth="1"/>
    <col min="13578" max="13578" width="11.28515625" style="138" hidden="1" customWidth="1"/>
    <col min="13579" max="13579" width="11.42578125" style="138" hidden="1" customWidth="1"/>
    <col min="13580" max="13580" width="10.7109375" style="138" hidden="1" customWidth="1"/>
    <col min="13581" max="13581" width="10.28515625" style="138" hidden="1" customWidth="1"/>
    <col min="13582" max="13582" width="11.5703125" style="138" hidden="1" customWidth="1"/>
    <col min="13583" max="13584" width="11.42578125" style="138" hidden="1" customWidth="1"/>
    <col min="13585" max="13585" width="10.85546875" style="138" hidden="1" customWidth="1"/>
    <col min="13586" max="13586" width="8.7109375" style="138" hidden="1" customWidth="1"/>
    <col min="13587" max="13587" width="6.28515625" style="138" hidden="1" customWidth="1"/>
    <col min="13588" max="13588" width="4" style="138" hidden="1" customWidth="1"/>
    <col min="13589" max="13589" width="8.7109375" style="138" hidden="1" customWidth="1"/>
    <col min="13590" max="13590" width="13.7109375" style="138" hidden="1" customWidth="1"/>
    <col min="13591" max="13591" width="20.7109375" style="138" hidden="1" customWidth="1"/>
    <col min="13592" max="13592" width="9.42578125" style="138" hidden="1" customWidth="1"/>
    <col min="13593" max="13593" width="3.28515625" style="138" hidden="1" customWidth="1"/>
    <col min="13594" max="13817" width="0" style="138" hidden="1"/>
    <col min="13818" max="13819" width="3.28515625" style="138" hidden="1" customWidth="1"/>
    <col min="13820" max="13820" width="30.7109375" style="138" hidden="1" customWidth="1"/>
    <col min="13821" max="13821" width="2.7109375" style="138" hidden="1" customWidth="1"/>
    <col min="13822" max="13822" width="12.85546875" style="138" hidden="1" customWidth="1"/>
    <col min="13823" max="13824" width="9.5703125" style="138" hidden="1" customWidth="1"/>
    <col min="13825" max="13825" width="7.42578125" style="138" hidden="1" customWidth="1"/>
    <col min="13826" max="13826" width="11.140625" style="138" hidden="1" customWidth="1"/>
    <col min="13827" max="13827" width="11.28515625" style="138" hidden="1" customWidth="1"/>
    <col min="13828" max="13828" width="11.7109375" style="138" hidden="1" customWidth="1"/>
    <col min="13829" max="13829" width="11.28515625" style="138" hidden="1" customWidth="1"/>
    <col min="13830" max="13830" width="10.7109375" style="138" hidden="1" customWidth="1"/>
    <col min="13831" max="13831" width="11.28515625" style="138" hidden="1" customWidth="1"/>
    <col min="13832" max="13832" width="11.42578125" style="138" hidden="1" customWidth="1"/>
    <col min="13833" max="13833" width="10.42578125" style="138" hidden="1" customWidth="1"/>
    <col min="13834" max="13834" width="11.28515625" style="138" hidden="1" customWidth="1"/>
    <col min="13835" max="13835" width="11.42578125" style="138" hidden="1" customWidth="1"/>
    <col min="13836" max="13836" width="10.7109375" style="138" hidden="1" customWidth="1"/>
    <col min="13837" max="13837" width="10.28515625" style="138" hidden="1" customWidth="1"/>
    <col min="13838" max="13838" width="11.5703125" style="138" hidden="1" customWidth="1"/>
    <col min="13839" max="13840" width="11.42578125" style="138" hidden="1" customWidth="1"/>
    <col min="13841" max="13841" width="10.85546875" style="138" hidden="1" customWidth="1"/>
    <col min="13842" max="13842" width="8.7109375" style="138" hidden="1" customWidth="1"/>
    <col min="13843" max="13843" width="6.28515625" style="138" hidden="1" customWidth="1"/>
    <col min="13844" max="13844" width="4" style="138" hidden="1" customWidth="1"/>
    <col min="13845" max="13845" width="8.7109375" style="138" hidden="1" customWidth="1"/>
    <col min="13846" max="13846" width="13.7109375" style="138" hidden="1" customWidth="1"/>
    <col min="13847" max="13847" width="20.7109375" style="138" hidden="1" customWidth="1"/>
    <col min="13848" max="13848" width="9.42578125" style="138" hidden="1" customWidth="1"/>
    <col min="13849" max="13849" width="3.28515625" style="138" hidden="1" customWidth="1"/>
    <col min="13850" max="14073" width="0" style="138" hidden="1"/>
    <col min="14074" max="14075" width="3.28515625" style="138" hidden="1" customWidth="1"/>
    <col min="14076" max="14076" width="30.7109375" style="138" hidden="1" customWidth="1"/>
    <col min="14077" max="14077" width="2.7109375" style="138" hidden="1" customWidth="1"/>
    <col min="14078" max="14078" width="12.85546875" style="138" hidden="1" customWidth="1"/>
    <col min="14079" max="14080" width="9.5703125" style="138" hidden="1" customWidth="1"/>
    <col min="14081" max="14081" width="7.42578125" style="138" hidden="1" customWidth="1"/>
    <col min="14082" max="14082" width="11.140625" style="138" hidden="1" customWidth="1"/>
    <col min="14083" max="14083" width="11.28515625" style="138" hidden="1" customWidth="1"/>
    <col min="14084" max="14084" width="11.7109375" style="138" hidden="1" customWidth="1"/>
    <col min="14085" max="14085" width="11.28515625" style="138" hidden="1" customWidth="1"/>
    <col min="14086" max="14086" width="10.7109375" style="138" hidden="1" customWidth="1"/>
    <col min="14087" max="14087" width="11.28515625" style="138" hidden="1" customWidth="1"/>
    <col min="14088" max="14088" width="11.42578125" style="138" hidden="1" customWidth="1"/>
    <col min="14089" max="14089" width="10.42578125" style="138" hidden="1" customWidth="1"/>
    <col min="14090" max="14090" width="11.28515625" style="138" hidden="1" customWidth="1"/>
    <col min="14091" max="14091" width="11.42578125" style="138" hidden="1" customWidth="1"/>
    <col min="14092" max="14092" width="10.7109375" style="138" hidden="1" customWidth="1"/>
    <col min="14093" max="14093" width="10.28515625" style="138" hidden="1" customWidth="1"/>
    <col min="14094" max="14094" width="11.5703125" style="138" hidden="1" customWidth="1"/>
    <col min="14095" max="14096" width="11.42578125" style="138" hidden="1" customWidth="1"/>
    <col min="14097" max="14097" width="10.85546875" style="138" hidden="1" customWidth="1"/>
    <col min="14098" max="14098" width="8.7109375" style="138" hidden="1" customWidth="1"/>
    <col min="14099" max="14099" width="6.28515625" style="138" hidden="1" customWidth="1"/>
    <col min="14100" max="14100" width="4" style="138" hidden="1" customWidth="1"/>
    <col min="14101" max="14101" width="8.7109375" style="138" hidden="1" customWidth="1"/>
    <col min="14102" max="14102" width="13.7109375" style="138" hidden="1" customWidth="1"/>
    <col min="14103" max="14103" width="20.7109375" style="138" hidden="1" customWidth="1"/>
    <col min="14104" max="14104" width="9.42578125" style="138" hidden="1" customWidth="1"/>
    <col min="14105" max="14105" width="3.28515625" style="138" hidden="1" customWidth="1"/>
    <col min="14106" max="14329" width="0" style="138" hidden="1"/>
    <col min="14330" max="14331" width="3.28515625" style="138" hidden="1" customWidth="1"/>
    <col min="14332" max="14332" width="30.7109375" style="138" hidden="1" customWidth="1"/>
    <col min="14333" max="14333" width="2.7109375" style="138" hidden="1" customWidth="1"/>
    <col min="14334" max="14334" width="12.85546875" style="138" hidden="1" customWidth="1"/>
    <col min="14335" max="14336" width="9.5703125" style="138" hidden="1" customWidth="1"/>
    <col min="14337" max="14337" width="7.42578125" style="138" hidden="1" customWidth="1"/>
    <col min="14338" max="14338" width="11.140625" style="138" hidden="1" customWidth="1"/>
    <col min="14339" max="14339" width="11.28515625" style="138" hidden="1" customWidth="1"/>
    <col min="14340" max="14340" width="11.7109375" style="138" hidden="1" customWidth="1"/>
    <col min="14341" max="14341" width="11.28515625" style="138" hidden="1" customWidth="1"/>
    <col min="14342" max="14342" width="10.7109375" style="138" hidden="1" customWidth="1"/>
    <col min="14343" max="14343" width="11.28515625" style="138" hidden="1" customWidth="1"/>
    <col min="14344" max="14344" width="11.42578125" style="138" hidden="1" customWidth="1"/>
    <col min="14345" max="14345" width="10.42578125" style="138" hidden="1" customWidth="1"/>
    <col min="14346" max="14346" width="11.28515625" style="138" hidden="1" customWidth="1"/>
    <col min="14347" max="14347" width="11.42578125" style="138" hidden="1" customWidth="1"/>
    <col min="14348" max="14348" width="10.7109375" style="138" hidden="1" customWidth="1"/>
    <col min="14349" max="14349" width="10.28515625" style="138" hidden="1" customWidth="1"/>
    <col min="14350" max="14350" width="11.5703125" style="138" hidden="1" customWidth="1"/>
    <col min="14351" max="14352" width="11.42578125" style="138" hidden="1" customWidth="1"/>
    <col min="14353" max="14353" width="10.85546875" style="138" hidden="1" customWidth="1"/>
    <col min="14354" max="14354" width="8.7109375" style="138" hidden="1" customWidth="1"/>
    <col min="14355" max="14355" width="6.28515625" style="138" hidden="1" customWidth="1"/>
    <col min="14356" max="14356" width="4" style="138" hidden="1" customWidth="1"/>
    <col min="14357" max="14357" width="8.7109375" style="138" hidden="1" customWidth="1"/>
    <col min="14358" max="14358" width="13.7109375" style="138" hidden="1" customWidth="1"/>
    <col min="14359" max="14359" width="20.7109375" style="138" hidden="1" customWidth="1"/>
    <col min="14360" max="14360" width="9.42578125" style="138" hidden="1" customWidth="1"/>
    <col min="14361" max="14361" width="3.28515625" style="138" hidden="1" customWidth="1"/>
    <col min="14362" max="14585" width="0" style="138" hidden="1"/>
    <col min="14586" max="14587" width="3.28515625" style="138" hidden="1" customWidth="1"/>
    <col min="14588" max="14588" width="30.7109375" style="138" hidden="1" customWidth="1"/>
    <col min="14589" max="14589" width="2.7109375" style="138" hidden="1" customWidth="1"/>
    <col min="14590" max="14590" width="12.85546875" style="138" hidden="1" customWidth="1"/>
    <col min="14591" max="14592" width="9.5703125" style="138" hidden="1" customWidth="1"/>
    <col min="14593" max="14593" width="7.42578125" style="138" hidden="1" customWidth="1"/>
    <col min="14594" max="14594" width="11.140625" style="138" hidden="1" customWidth="1"/>
    <col min="14595" max="14595" width="11.28515625" style="138" hidden="1" customWidth="1"/>
    <col min="14596" max="14596" width="11.7109375" style="138" hidden="1" customWidth="1"/>
    <col min="14597" max="14597" width="11.28515625" style="138" hidden="1" customWidth="1"/>
    <col min="14598" max="14598" width="10.7109375" style="138" hidden="1" customWidth="1"/>
    <col min="14599" max="14599" width="11.28515625" style="138" hidden="1" customWidth="1"/>
    <col min="14600" max="14600" width="11.42578125" style="138" hidden="1" customWidth="1"/>
    <col min="14601" max="14601" width="10.42578125" style="138" hidden="1" customWidth="1"/>
    <col min="14602" max="14602" width="11.28515625" style="138" hidden="1" customWidth="1"/>
    <col min="14603" max="14603" width="11.42578125" style="138" hidden="1" customWidth="1"/>
    <col min="14604" max="14604" width="10.7109375" style="138" hidden="1" customWidth="1"/>
    <col min="14605" max="14605" width="10.28515625" style="138" hidden="1" customWidth="1"/>
    <col min="14606" max="14606" width="11.5703125" style="138" hidden="1" customWidth="1"/>
    <col min="14607" max="14608" width="11.42578125" style="138" hidden="1" customWidth="1"/>
    <col min="14609" max="14609" width="10.85546875" style="138" hidden="1" customWidth="1"/>
    <col min="14610" max="14610" width="8.7109375" style="138" hidden="1" customWidth="1"/>
    <col min="14611" max="14611" width="6.28515625" style="138" hidden="1" customWidth="1"/>
    <col min="14612" max="14612" width="4" style="138" hidden="1" customWidth="1"/>
    <col min="14613" max="14613" width="8.7109375" style="138" hidden="1" customWidth="1"/>
    <col min="14614" max="14614" width="13.7109375" style="138" hidden="1" customWidth="1"/>
    <col min="14615" max="14615" width="20.7109375" style="138" hidden="1" customWidth="1"/>
    <col min="14616" max="14616" width="9.42578125" style="138" hidden="1" customWidth="1"/>
    <col min="14617" max="14617" width="3.28515625" style="138" hidden="1" customWidth="1"/>
    <col min="14618" max="14841" width="0" style="138" hidden="1"/>
    <col min="14842" max="14843" width="3.28515625" style="138" hidden="1" customWidth="1"/>
    <col min="14844" max="14844" width="30.7109375" style="138" hidden="1" customWidth="1"/>
    <col min="14845" max="14845" width="2.7109375" style="138" hidden="1" customWidth="1"/>
    <col min="14846" max="14846" width="12.85546875" style="138" hidden="1" customWidth="1"/>
    <col min="14847" max="14848" width="9.5703125" style="138" hidden="1" customWidth="1"/>
    <col min="14849" max="14849" width="7.42578125" style="138" hidden="1" customWidth="1"/>
    <col min="14850" max="14850" width="11.140625" style="138" hidden="1" customWidth="1"/>
    <col min="14851" max="14851" width="11.28515625" style="138" hidden="1" customWidth="1"/>
    <col min="14852" max="14852" width="11.7109375" style="138" hidden="1" customWidth="1"/>
    <col min="14853" max="14853" width="11.28515625" style="138" hidden="1" customWidth="1"/>
    <col min="14854" max="14854" width="10.7109375" style="138" hidden="1" customWidth="1"/>
    <col min="14855" max="14855" width="11.28515625" style="138" hidden="1" customWidth="1"/>
    <col min="14856" max="14856" width="11.42578125" style="138" hidden="1" customWidth="1"/>
    <col min="14857" max="14857" width="10.42578125" style="138" hidden="1" customWidth="1"/>
    <col min="14858" max="14858" width="11.28515625" style="138" hidden="1" customWidth="1"/>
    <col min="14859" max="14859" width="11.42578125" style="138" hidden="1" customWidth="1"/>
    <col min="14860" max="14860" width="10.7109375" style="138" hidden="1" customWidth="1"/>
    <col min="14861" max="14861" width="10.28515625" style="138" hidden="1" customWidth="1"/>
    <col min="14862" max="14862" width="11.5703125" style="138" hidden="1" customWidth="1"/>
    <col min="14863" max="14864" width="11.42578125" style="138" hidden="1" customWidth="1"/>
    <col min="14865" max="14865" width="10.85546875" style="138" hidden="1" customWidth="1"/>
    <col min="14866" max="14866" width="8.7109375" style="138" hidden="1" customWidth="1"/>
    <col min="14867" max="14867" width="6.28515625" style="138" hidden="1" customWidth="1"/>
    <col min="14868" max="14868" width="4" style="138" hidden="1" customWidth="1"/>
    <col min="14869" max="14869" width="8.7109375" style="138" hidden="1" customWidth="1"/>
    <col min="14870" max="14870" width="13.7109375" style="138" hidden="1" customWidth="1"/>
    <col min="14871" max="14871" width="20.7109375" style="138" hidden="1" customWidth="1"/>
    <col min="14872" max="14872" width="9.42578125" style="138" hidden="1" customWidth="1"/>
    <col min="14873" max="14873" width="3.28515625" style="138" hidden="1" customWidth="1"/>
    <col min="14874" max="15097" width="0" style="138" hidden="1"/>
    <col min="15098" max="15099" width="3.28515625" style="138" hidden="1" customWidth="1"/>
    <col min="15100" max="15100" width="30.7109375" style="138" hidden="1" customWidth="1"/>
    <col min="15101" max="15101" width="2.7109375" style="138" hidden="1" customWidth="1"/>
    <col min="15102" max="15102" width="12.85546875" style="138" hidden="1" customWidth="1"/>
    <col min="15103" max="15104" width="9.5703125" style="138" hidden="1" customWidth="1"/>
    <col min="15105" max="15105" width="7.42578125" style="138" hidden="1" customWidth="1"/>
    <col min="15106" max="15106" width="11.140625" style="138" hidden="1" customWidth="1"/>
    <col min="15107" max="15107" width="11.28515625" style="138" hidden="1" customWidth="1"/>
    <col min="15108" max="15108" width="11.7109375" style="138" hidden="1" customWidth="1"/>
    <col min="15109" max="15109" width="11.28515625" style="138" hidden="1" customWidth="1"/>
    <col min="15110" max="15110" width="10.7109375" style="138" hidden="1" customWidth="1"/>
    <col min="15111" max="15111" width="11.28515625" style="138" hidden="1" customWidth="1"/>
    <col min="15112" max="15112" width="11.42578125" style="138" hidden="1" customWidth="1"/>
    <col min="15113" max="15113" width="10.42578125" style="138" hidden="1" customWidth="1"/>
    <col min="15114" max="15114" width="11.28515625" style="138" hidden="1" customWidth="1"/>
    <col min="15115" max="15115" width="11.42578125" style="138" hidden="1" customWidth="1"/>
    <col min="15116" max="15116" width="10.7109375" style="138" hidden="1" customWidth="1"/>
    <col min="15117" max="15117" width="10.28515625" style="138" hidden="1" customWidth="1"/>
    <col min="15118" max="15118" width="11.5703125" style="138" hidden="1" customWidth="1"/>
    <col min="15119" max="15120" width="11.42578125" style="138" hidden="1" customWidth="1"/>
    <col min="15121" max="15121" width="10.85546875" style="138" hidden="1" customWidth="1"/>
    <col min="15122" max="15122" width="8.7109375" style="138" hidden="1" customWidth="1"/>
    <col min="15123" max="15123" width="6.28515625" style="138" hidden="1" customWidth="1"/>
    <col min="15124" max="15124" width="4" style="138" hidden="1" customWidth="1"/>
    <col min="15125" max="15125" width="8.7109375" style="138" hidden="1" customWidth="1"/>
    <col min="15126" max="15126" width="13.7109375" style="138" hidden="1" customWidth="1"/>
    <col min="15127" max="15127" width="20.7109375" style="138" hidden="1" customWidth="1"/>
    <col min="15128" max="15128" width="9.42578125" style="138" hidden="1" customWidth="1"/>
    <col min="15129" max="15129" width="3.28515625" style="138" hidden="1" customWidth="1"/>
    <col min="15130" max="15353" width="0" style="138" hidden="1"/>
    <col min="15354" max="15355" width="3.28515625" style="138" hidden="1" customWidth="1"/>
    <col min="15356" max="15356" width="30.7109375" style="138" hidden="1" customWidth="1"/>
    <col min="15357" max="15357" width="2.7109375" style="138" hidden="1" customWidth="1"/>
    <col min="15358" max="15358" width="12.85546875" style="138" hidden="1" customWidth="1"/>
    <col min="15359" max="15360" width="9.5703125" style="138" hidden="1" customWidth="1"/>
    <col min="15361" max="15361" width="7.42578125" style="138" hidden="1" customWidth="1"/>
    <col min="15362" max="15362" width="11.140625" style="138" hidden="1" customWidth="1"/>
    <col min="15363" max="15363" width="11.28515625" style="138" hidden="1" customWidth="1"/>
    <col min="15364" max="15364" width="11.7109375" style="138" hidden="1" customWidth="1"/>
    <col min="15365" max="15365" width="11.28515625" style="138" hidden="1" customWidth="1"/>
    <col min="15366" max="15366" width="10.7109375" style="138" hidden="1" customWidth="1"/>
    <col min="15367" max="15367" width="11.28515625" style="138" hidden="1" customWidth="1"/>
    <col min="15368" max="15368" width="11.42578125" style="138" hidden="1" customWidth="1"/>
    <col min="15369" max="15369" width="10.42578125" style="138" hidden="1" customWidth="1"/>
    <col min="15370" max="15370" width="11.28515625" style="138" hidden="1" customWidth="1"/>
    <col min="15371" max="15371" width="11.42578125" style="138" hidden="1" customWidth="1"/>
    <col min="15372" max="15372" width="10.7109375" style="138" hidden="1" customWidth="1"/>
    <col min="15373" max="15373" width="10.28515625" style="138" hidden="1" customWidth="1"/>
    <col min="15374" max="15374" width="11.5703125" style="138" hidden="1" customWidth="1"/>
    <col min="15375" max="15376" width="11.42578125" style="138" hidden="1" customWidth="1"/>
    <col min="15377" max="15377" width="10.85546875" style="138" hidden="1" customWidth="1"/>
    <col min="15378" max="15378" width="8.7109375" style="138" hidden="1" customWidth="1"/>
    <col min="15379" max="15379" width="6.28515625" style="138" hidden="1" customWidth="1"/>
    <col min="15380" max="15380" width="4" style="138" hidden="1" customWidth="1"/>
    <col min="15381" max="15381" width="8.7109375" style="138" hidden="1" customWidth="1"/>
    <col min="15382" max="15382" width="13.7109375" style="138" hidden="1" customWidth="1"/>
    <col min="15383" max="15383" width="20.7109375" style="138" hidden="1" customWidth="1"/>
    <col min="15384" max="15384" width="9.42578125" style="138" hidden="1" customWidth="1"/>
    <col min="15385" max="15385" width="3.28515625" style="138" hidden="1" customWidth="1"/>
    <col min="15386" max="15609" width="0" style="138" hidden="1"/>
    <col min="15610" max="15611" width="3.28515625" style="138" hidden="1" customWidth="1"/>
    <col min="15612" max="15612" width="30.7109375" style="138" hidden="1" customWidth="1"/>
    <col min="15613" max="15613" width="2.7109375" style="138" hidden="1" customWidth="1"/>
    <col min="15614" max="15614" width="12.85546875" style="138" hidden="1" customWidth="1"/>
    <col min="15615" max="15616" width="9.5703125" style="138" hidden="1" customWidth="1"/>
    <col min="15617" max="15617" width="7.42578125" style="138" hidden="1" customWidth="1"/>
    <col min="15618" max="15618" width="11.140625" style="138" hidden="1" customWidth="1"/>
    <col min="15619" max="15619" width="11.28515625" style="138" hidden="1" customWidth="1"/>
    <col min="15620" max="15620" width="11.7109375" style="138" hidden="1" customWidth="1"/>
    <col min="15621" max="15621" width="11.28515625" style="138" hidden="1" customWidth="1"/>
    <col min="15622" max="15622" width="10.7109375" style="138" hidden="1" customWidth="1"/>
    <col min="15623" max="15623" width="11.28515625" style="138" hidden="1" customWidth="1"/>
    <col min="15624" max="15624" width="11.42578125" style="138" hidden="1" customWidth="1"/>
    <col min="15625" max="15625" width="10.42578125" style="138" hidden="1" customWidth="1"/>
    <col min="15626" max="15626" width="11.28515625" style="138" hidden="1" customWidth="1"/>
    <col min="15627" max="15627" width="11.42578125" style="138" hidden="1" customWidth="1"/>
    <col min="15628" max="15628" width="10.7109375" style="138" hidden="1" customWidth="1"/>
    <col min="15629" max="15629" width="10.28515625" style="138" hidden="1" customWidth="1"/>
    <col min="15630" max="15630" width="11.5703125" style="138" hidden="1" customWidth="1"/>
    <col min="15631" max="15632" width="11.42578125" style="138" hidden="1" customWidth="1"/>
    <col min="15633" max="15633" width="10.85546875" style="138" hidden="1" customWidth="1"/>
    <col min="15634" max="15634" width="8.7109375" style="138" hidden="1" customWidth="1"/>
    <col min="15635" max="15635" width="6.28515625" style="138" hidden="1" customWidth="1"/>
    <col min="15636" max="15636" width="4" style="138" hidden="1" customWidth="1"/>
    <col min="15637" max="15637" width="8.7109375" style="138" hidden="1" customWidth="1"/>
    <col min="15638" max="15638" width="13.7109375" style="138" hidden="1" customWidth="1"/>
    <col min="15639" max="15639" width="20.7109375" style="138" hidden="1" customWidth="1"/>
    <col min="15640" max="15640" width="9.42578125" style="138" hidden="1" customWidth="1"/>
    <col min="15641" max="15641" width="3.28515625" style="138" hidden="1" customWidth="1"/>
    <col min="15642" max="15865" width="0" style="138" hidden="1"/>
    <col min="15866" max="15867" width="3.28515625" style="138" hidden="1" customWidth="1"/>
    <col min="15868" max="15868" width="30.7109375" style="138" hidden="1" customWidth="1"/>
    <col min="15869" max="15869" width="2.7109375" style="138" hidden="1" customWidth="1"/>
    <col min="15870" max="15870" width="12.85546875" style="138" hidden="1" customWidth="1"/>
    <col min="15871" max="15872" width="9.5703125" style="138" hidden="1" customWidth="1"/>
    <col min="15873" max="15873" width="7.42578125" style="138" hidden="1" customWidth="1"/>
    <col min="15874" max="15874" width="11.140625" style="138" hidden="1" customWidth="1"/>
    <col min="15875" max="15875" width="11.28515625" style="138" hidden="1" customWidth="1"/>
    <col min="15876" max="15876" width="11.7109375" style="138" hidden="1" customWidth="1"/>
    <col min="15877" max="15877" width="11.28515625" style="138" hidden="1" customWidth="1"/>
    <col min="15878" max="15878" width="10.7109375" style="138" hidden="1" customWidth="1"/>
    <col min="15879" max="15879" width="11.28515625" style="138" hidden="1" customWidth="1"/>
    <col min="15880" max="15880" width="11.42578125" style="138" hidden="1" customWidth="1"/>
    <col min="15881" max="15881" width="10.42578125" style="138" hidden="1" customWidth="1"/>
    <col min="15882" max="15882" width="11.28515625" style="138" hidden="1" customWidth="1"/>
    <col min="15883" max="15883" width="11.42578125" style="138" hidden="1" customWidth="1"/>
    <col min="15884" max="15884" width="10.7109375" style="138" hidden="1" customWidth="1"/>
    <col min="15885" max="15885" width="10.28515625" style="138" hidden="1" customWidth="1"/>
    <col min="15886" max="15886" width="11.5703125" style="138" hidden="1" customWidth="1"/>
    <col min="15887" max="15888" width="11.42578125" style="138" hidden="1" customWidth="1"/>
    <col min="15889" max="15889" width="10.85546875" style="138" hidden="1" customWidth="1"/>
    <col min="15890" max="15890" width="8.7109375" style="138" hidden="1" customWidth="1"/>
    <col min="15891" max="15891" width="6.28515625" style="138" hidden="1" customWidth="1"/>
    <col min="15892" max="15892" width="4" style="138" hidden="1" customWidth="1"/>
    <col min="15893" max="15893" width="8.7109375" style="138" hidden="1" customWidth="1"/>
    <col min="15894" max="15894" width="13.7109375" style="138" hidden="1" customWidth="1"/>
    <col min="15895" max="15895" width="20.7109375" style="138" hidden="1" customWidth="1"/>
    <col min="15896" max="15896" width="9.42578125" style="138" hidden="1" customWidth="1"/>
    <col min="15897" max="15897" width="3.28515625" style="138" hidden="1" customWidth="1"/>
    <col min="15898" max="16121" width="0" style="138" hidden="1"/>
    <col min="16122" max="16123" width="3.28515625" style="138" hidden="1" customWidth="1"/>
    <col min="16124" max="16124" width="30.7109375" style="138" hidden="1" customWidth="1"/>
    <col min="16125" max="16125" width="2.7109375" style="138" hidden="1" customWidth="1"/>
    <col min="16126" max="16126" width="12.85546875" style="138" hidden="1" customWidth="1"/>
    <col min="16127" max="16128" width="9.5703125" style="138" hidden="1" customWidth="1"/>
    <col min="16129" max="16129" width="7.42578125" style="138" hidden="1" customWidth="1"/>
    <col min="16130" max="16130" width="11.140625" style="138" hidden="1" customWidth="1"/>
    <col min="16131" max="16131" width="11.28515625" style="138" hidden="1" customWidth="1"/>
    <col min="16132" max="16132" width="11.7109375" style="138" hidden="1" customWidth="1"/>
    <col min="16133" max="16133" width="11.28515625" style="138" hidden="1" customWidth="1"/>
    <col min="16134" max="16134" width="10.7109375" style="138" hidden="1" customWidth="1"/>
    <col min="16135" max="16135" width="11.28515625" style="138" hidden="1" customWidth="1"/>
    <col min="16136" max="16136" width="11.42578125" style="138" hidden="1" customWidth="1"/>
    <col min="16137" max="16137" width="10.42578125" style="138" hidden="1" customWidth="1"/>
    <col min="16138" max="16138" width="11.28515625" style="138" hidden="1" customWidth="1"/>
    <col min="16139" max="16139" width="11.42578125" style="138" hidden="1" customWidth="1"/>
    <col min="16140" max="16140" width="10.7109375" style="138" hidden="1" customWidth="1"/>
    <col min="16141" max="16141" width="10.28515625" style="138" hidden="1" customWidth="1"/>
    <col min="16142" max="16142" width="11.5703125" style="138" hidden="1" customWidth="1"/>
    <col min="16143" max="16144" width="11.42578125" style="138" hidden="1" customWidth="1"/>
    <col min="16145" max="16145" width="10.85546875" style="138" hidden="1" customWidth="1"/>
    <col min="16146" max="16146" width="8.7109375" style="138" hidden="1" customWidth="1"/>
    <col min="16147" max="16147" width="6.28515625" style="138" hidden="1" customWidth="1"/>
    <col min="16148" max="16148" width="4" style="138" hidden="1" customWidth="1"/>
    <col min="16149" max="16149" width="8.7109375" style="138" hidden="1" customWidth="1"/>
    <col min="16150" max="16150" width="13.7109375" style="138" hidden="1" customWidth="1"/>
    <col min="16151" max="16151" width="20.7109375" style="138" hidden="1" customWidth="1"/>
    <col min="16152" max="16152" width="9.42578125" style="138" hidden="1" customWidth="1"/>
    <col min="16153" max="16153" width="3.28515625" style="138" hidden="1" customWidth="1"/>
    <col min="16154" max="16156" width="3.28515625" style="138" hidden="1"/>
    <col min="16157" max="16384" width="0" style="138" hidden="1"/>
  </cols>
  <sheetData>
    <row r="1" spans="1:25" ht="15.75" customHeight="1" x14ac:dyDescent="0.25">
      <c r="A1" s="7"/>
      <c r="B1" s="8"/>
      <c r="C1" s="1">
        <f ca="1">NOW()</f>
        <v>43089.775999537036</v>
      </c>
      <c r="D1" s="4959"/>
      <c r="E1" s="4959"/>
      <c r="F1" s="4959"/>
      <c r="G1" s="4959"/>
      <c r="H1" s="4959"/>
      <c r="I1" s="4959"/>
      <c r="J1" s="4959"/>
      <c r="K1" s="4959"/>
      <c r="L1" s="4959"/>
      <c r="M1" s="4959"/>
      <c r="N1" s="5" t="s">
        <v>41</v>
      </c>
      <c r="O1" s="6" t="s">
        <v>1191</v>
      </c>
      <c r="P1" s="9"/>
      <c r="Q1" s="10"/>
      <c r="R1" s="10"/>
      <c r="S1" s="10"/>
      <c r="T1" s="10"/>
      <c r="U1" s="8"/>
      <c r="V1" s="8"/>
      <c r="W1" s="8"/>
      <c r="X1" s="8"/>
      <c r="Y1" s="8"/>
    </row>
    <row r="2" spans="1:25" ht="11.1" customHeight="1" x14ac:dyDescent="0.2">
      <c r="A2" s="8"/>
      <c r="B2" s="8"/>
      <c r="C2" s="2" t="s">
        <v>2508</v>
      </c>
      <c r="D2" s="4959"/>
      <c r="E2" s="4959"/>
      <c r="F2" s="4959"/>
      <c r="G2" s="4959"/>
      <c r="H2" s="4959"/>
      <c r="I2" s="4959"/>
      <c r="J2" s="4959"/>
      <c r="K2" s="4959"/>
      <c r="L2" s="4959"/>
      <c r="M2" s="4959"/>
      <c r="N2" s="11"/>
      <c r="O2" s="12"/>
      <c r="P2" s="13"/>
      <c r="Q2" s="10"/>
      <c r="R2" s="14"/>
      <c r="S2" s="14"/>
      <c r="T2" s="10"/>
      <c r="U2" s="8"/>
      <c r="V2" s="8"/>
      <c r="W2" s="8"/>
      <c r="X2" s="8"/>
      <c r="Y2" s="8"/>
    </row>
    <row r="3" spans="1:25" ht="12" customHeight="1" x14ac:dyDescent="0.2">
      <c r="A3" s="8"/>
      <c r="B3" s="8"/>
      <c r="C3" s="2" t="s">
        <v>42</v>
      </c>
      <c r="D3" s="4959"/>
      <c r="E3" s="4959"/>
      <c r="F3" s="4959"/>
      <c r="G3" s="4959"/>
      <c r="H3" s="4959"/>
      <c r="I3" s="4959"/>
      <c r="J3" s="4959"/>
      <c r="K3" s="4959"/>
      <c r="L3" s="4959"/>
      <c r="M3" s="4959"/>
      <c r="N3" s="15" t="s">
        <v>678</v>
      </c>
      <c r="O3" s="16"/>
      <c r="P3" s="13"/>
      <c r="Q3" s="16"/>
      <c r="R3" s="16"/>
      <c r="S3" s="16"/>
      <c r="T3" s="16"/>
      <c r="U3" s="8"/>
      <c r="V3" s="8"/>
      <c r="W3" s="8"/>
      <c r="X3" s="8"/>
      <c r="Y3" s="8"/>
    </row>
    <row r="4" spans="1:25" ht="11.1" customHeight="1" x14ac:dyDescent="0.2">
      <c r="A4" s="4941"/>
      <c r="B4" s="4942"/>
      <c r="C4" s="3" t="s">
        <v>647</v>
      </c>
      <c r="D4" s="4959"/>
      <c r="E4" s="4959"/>
      <c r="F4" s="4959"/>
      <c r="G4" s="4959"/>
      <c r="H4" s="4959"/>
      <c r="I4" s="4959"/>
      <c r="J4" s="4959"/>
      <c r="K4" s="4959"/>
      <c r="L4" s="4959"/>
      <c r="M4" s="4959"/>
      <c r="N4" s="15" t="s">
        <v>679</v>
      </c>
      <c r="O4" s="17"/>
      <c r="P4" s="13"/>
      <c r="Q4" s="17"/>
      <c r="R4" s="18" t="s">
        <v>755</v>
      </c>
      <c r="S4" s="19"/>
      <c r="T4" s="17"/>
      <c r="U4" s="8"/>
      <c r="V4" s="8"/>
      <c r="W4" s="20" t="s">
        <v>674</v>
      </c>
      <c r="X4" s="8"/>
      <c r="Y4" s="8"/>
    </row>
    <row r="5" spans="1:25" ht="11.1" customHeight="1" x14ac:dyDescent="0.2">
      <c r="A5" s="4942"/>
      <c r="B5" s="4942"/>
      <c r="C5" s="4" t="s">
        <v>2507</v>
      </c>
      <c r="D5" s="4959"/>
      <c r="E5" s="4959"/>
      <c r="F5" s="4959"/>
      <c r="G5" s="4959"/>
      <c r="H5" s="4959"/>
      <c r="I5" s="4959"/>
      <c r="J5" s="4959"/>
      <c r="K5" s="4959"/>
      <c r="L5" s="4959"/>
      <c r="M5" s="4959"/>
      <c r="N5" s="3282" t="s">
        <v>2506</v>
      </c>
      <c r="O5" s="21"/>
      <c r="P5" s="21"/>
      <c r="Q5" s="21"/>
      <c r="R5" s="22" t="s">
        <v>1072</v>
      </c>
      <c r="S5" s="21"/>
      <c r="T5" s="21"/>
      <c r="U5" s="21"/>
      <c r="V5" s="21"/>
      <c r="W5" s="22" t="s">
        <v>675</v>
      </c>
      <c r="X5" s="21"/>
      <c r="Y5" s="8"/>
    </row>
    <row r="6" spans="1:25" ht="11.1" customHeight="1" x14ac:dyDescent="0.2">
      <c r="A6" s="8"/>
      <c r="B6" s="8"/>
      <c r="C6" s="782" t="s">
        <v>1141</v>
      </c>
      <c r="D6" s="4959"/>
      <c r="E6" s="4959"/>
      <c r="F6" s="4959"/>
      <c r="G6" s="4959"/>
      <c r="H6" s="4959"/>
      <c r="I6" s="4959"/>
      <c r="J6" s="4959"/>
      <c r="K6" s="4959"/>
      <c r="L6" s="4959"/>
      <c r="M6" s="4959"/>
      <c r="N6" s="23"/>
      <c r="O6" s="10"/>
      <c r="P6" s="13"/>
      <c r="Q6" s="10"/>
      <c r="R6" s="10"/>
      <c r="S6" s="10"/>
      <c r="T6" s="10"/>
      <c r="U6" s="8"/>
      <c r="V6" s="8"/>
      <c r="W6" s="8"/>
      <c r="X6" s="24">
        <f ca="1">NOW()</f>
        <v>43089.775999537036</v>
      </c>
      <c r="Y6" s="8"/>
    </row>
    <row r="7" spans="1:25" ht="11.1" customHeight="1" thickBot="1" x14ac:dyDescent="0.3">
      <c r="A7" s="8"/>
      <c r="B7" s="8"/>
      <c r="C7" s="26" t="s">
        <v>1142</v>
      </c>
      <c r="D7" s="1265"/>
      <c r="E7" s="26"/>
      <c r="F7" s="25"/>
      <c r="G7" s="25"/>
      <c r="H7" s="25"/>
      <c r="I7" s="27"/>
      <c r="J7" s="10"/>
      <c r="K7" s="28"/>
      <c r="L7" s="27"/>
      <c r="M7" s="29"/>
      <c r="N7" s="28"/>
      <c r="O7" s="10"/>
      <c r="P7" s="9"/>
      <c r="Q7" s="10"/>
      <c r="R7" s="10"/>
      <c r="S7" s="10"/>
      <c r="T7" s="10"/>
      <c r="U7" s="8"/>
      <c r="V7" s="8"/>
      <c r="W7" s="8"/>
      <c r="X7" s="8"/>
      <c r="Y7" s="8"/>
    </row>
    <row r="8" spans="1:25" ht="11.1" customHeight="1" thickTop="1" x14ac:dyDescent="0.2">
      <c r="A8" s="8"/>
      <c r="B8" s="30"/>
      <c r="C8" s="31" t="s">
        <v>43</v>
      </c>
      <c r="D8" s="1266"/>
      <c r="E8" s="4963" t="s">
        <v>2133</v>
      </c>
      <c r="F8" s="32" t="s">
        <v>24</v>
      </c>
      <c r="G8" s="4943" t="s">
        <v>44</v>
      </c>
      <c r="H8" s="4943" t="s">
        <v>45</v>
      </c>
      <c r="I8" s="1608" t="s">
        <v>615</v>
      </c>
      <c r="J8" s="1608" t="s">
        <v>1598</v>
      </c>
      <c r="K8" s="1608" t="s">
        <v>1186</v>
      </c>
      <c r="L8" s="1608" t="s">
        <v>26</v>
      </c>
      <c r="M8" s="1609" t="s">
        <v>46</v>
      </c>
      <c r="N8" s="1608" t="s">
        <v>47</v>
      </c>
      <c r="O8" s="1608" t="s">
        <v>650</v>
      </c>
      <c r="P8" s="1608" t="s">
        <v>48</v>
      </c>
      <c r="Q8" s="1608" t="s">
        <v>616</v>
      </c>
      <c r="R8" s="4943" t="s">
        <v>49</v>
      </c>
      <c r="S8" s="4948" t="s">
        <v>50</v>
      </c>
      <c r="T8" s="4950"/>
      <c r="U8" s="4956" t="s">
        <v>51</v>
      </c>
      <c r="V8" s="4957" t="s">
        <v>52</v>
      </c>
      <c r="W8" s="4957" t="s">
        <v>53</v>
      </c>
      <c r="X8" s="4953" t="s">
        <v>1057</v>
      </c>
      <c r="Y8" s="33"/>
    </row>
    <row r="9" spans="1:25" ht="11.1" customHeight="1" x14ac:dyDescent="0.2">
      <c r="A9" s="8"/>
      <c r="B9" s="34"/>
      <c r="C9" s="35" t="s">
        <v>54</v>
      </c>
      <c r="D9" s="1267"/>
      <c r="E9" s="4964"/>
      <c r="F9" s="36" t="s">
        <v>1059</v>
      </c>
      <c r="G9" s="4960"/>
      <c r="H9" s="4960"/>
      <c r="I9" s="37">
        <f t="shared" ref="I9:Q9" si="0">(MIN(I$13:I$108)*8)/I12</f>
        <v>1.1389027778056562</v>
      </c>
      <c r="J9" s="38">
        <f t="shared" si="0"/>
        <v>4.5586315029116822</v>
      </c>
      <c r="K9" s="37">
        <f t="shared" si="0"/>
        <v>5.6409123301867679</v>
      </c>
      <c r="L9" s="38">
        <f t="shared" si="0"/>
        <v>2.5518398454917235</v>
      </c>
      <c r="M9" s="38">
        <f t="shared" si="0"/>
        <v>7.3743862870903243</v>
      </c>
      <c r="N9" s="38">
        <f t="shared" si="0"/>
        <v>7.0062519827387657</v>
      </c>
      <c r="O9" s="38">
        <f t="shared" si="0"/>
        <v>2.9129647878403322</v>
      </c>
      <c r="P9" s="38">
        <f t="shared" si="0"/>
        <v>1.0407872051227764</v>
      </c>
      <c r="Q9" s="39">
        <f t="shared" si="0"/>
        <v>1.0646242720000001</v>
      </c>
      <c r="R9" s="4961"/>
      <c r="S9" s="40"/>
      <c r="T9" s="40"/>
      <c r="U9" s="4961"/>
      <c r="V9" s="4961"/>
      <c r="W9" s="4961"/>
      <c r="X9" s="4966"/>
      <c r="Y9" s="33"/>
    </row>
    <row r="10" spans="1:25" ht="11.1" customHeight="1" x14ac:dyDescent="0.2">
      <c r="A10" s="8"/>
      <c r="B10" s="34"/>
      <c r="C10" s="35" t="s">
        <v>55</v>
      </c>
      <c r="D10" s="1267"/>
      <c r="E10" s="4964"/>
      <c r="F10" s="36" t="s">
        <v>1058</v>
      </c>
      <c r="G10" s="4960"/>
      <c r="H10" s="4960"/>
      <c r="I10" s="41">
        <f t="shared" ref="I10:Q10" si="1">(MIN(I$13:I$108))*100/I12/100</f>
        <v>0.14236284722570702</v>
      </c>
      <c r="J10" s="42">
        <f t="shared" si="1"/>
        <v>0.56982893786396038</v>
      </c>
      <c r="K10" s="41">
        <f t="shared" si="1"/>
        <v>0.70511404127334598</v>
      </c>
      <c r="L10" s="42">
        <f t="shared" si="1"/>
        <v>0.31897998068646544</v>
      </c>
      <c r="M10" s="42">
        <f t="shared" si="1"/>
        <v>0.92179828588629054</v>
      </c>
      <c r="N10" s="42">
        <f t="shared" si="1"/>
        <v>0.87578149784234582</v>
      </c>
      <c r="O10" s="42">
        <f t="shared" si="1"/>
        <v>0.36412059848004152</v>
      </c>
      <c r="P10" s="42">
        <f t="shared" si="1"/>
        <v>0.13009840064034706</v>
      </c>
      <c r="Q10" s="42">
        <f t="shared" si="1"/>
        <v>0.13307803399999998</v>
      </c>
      <c r="R10" s="4961"/>
      <c r="S10" s="40" t="s">
        <v>56</v>
      </c>
      <c r="T10" s="40" t="s">
        <v>57</v>
      </c>
      <c r="U10" s="4961"/>
      <c r="V10" s="4961"/>
      <c r="W10" s="4961"/>
      <c r="X10" s="4966"/>
      <c r="Y10" s="33"/>
    </row>
    <row r="11" spans="1:25" ht="13.5" hidden="1" customHeight="1" x14ac:dyDescent="0.2">
      <c r="A11" s="8"/>
      <c r="B11" s="34"/>
      <c r="C11" s="35"/>
      <c r="D11" s="1267"/>
      <c r="E11" s="4964"/>
      <c r="F11" s="36"/>
      <c r="G11" s="4960"/>
      <c r="H11" s="4960"/>
      <c r="I11" s="43">
        <f t="shared" ref="I11:Q11" si="2">MIN(I$13:I$67)</f>
        <v>46668156</v>
      </c>
      <c r="J11" s="44">
        <f t="shared" si="2"/>
        <v>345704897</v>
      </c>
      <c r="K11" s="43">
        <f t="shared" si="2"/>
        <v>407439608</v>
      </c>
      <c r="L11" s="44">
        <f t="shared" si="2"/>
        <v>226233506</v>
      </c>
      <c r="M11" s="44">
        <f t="shared" si="2"/>
        <v>561503334</v>
      </c>
      <c r="N11" s="44">
        <f t="shared" si="2"/>
        <v>430975058</v>
      </c>
      <c r="O11" s="44">
        <f t="shared" si="2"/>
        <v>230664007</v>
      </c>
      <c r="P11" s="44">
        <f t="shared" si="2"/>
        <v>26019881</v>
      </c>
      <c r="Q11" s="44">
        <f t="shared" si="2"/>
        <v>133078034</v>
      </c>
      <c r="R11" s="4961"/>
      <c r="S11" s="40"/>
      <c r="T11" s="40"/>
      <c r="U11" s="4961"/>
      <c r="V11" s="4961"/>
      <c r="W11" s="4961"/>
      <c r="X11" s="4966"/>
      <c r="Y11" s="33"/>
    </row>
    <row r="12" spans="1:25" ht="11.1" customHeight="1" x14ac:dyDescent="0.2">
      <c r="A12" s="8"/>
      <c r="B12" s="34"/>
      <c r="C12" s="45" t="s">
        <v>58</v>
      </c>
      <c r="D12" s="1268"/>
      <c r="E12" s="4964"/>
      <c r="F12" s="46">
        <f t="shared" ref="F12" si="3">SUM(I12/I$11,J12/J$11,K12/K$11,L12/L$11,M12/M$11,N12/N$11,O12/O$11,P12/P$11,Q12/Q$11)/9*100</f>
        <v>372.29238233594504</v>
      </c>
      <c r="G12" s="4945"/>
      <c r="H12" s="4945"/>
      <c r="I12" s="47">
        <v>327811342</v>
      </c>
      <c r="J12" s="47">
        <v>606681890</v>
      </c>
      <c r="K12" s="47">
        <v>577835051</v>
      </c>
      <c r="L12" s="47">
        <v>709240453</v>
      </c>
      <c r="M12" s="47">
        <v>609139052</v>
      </c>
      <c r="N12" s="47">
        <v>492103406</v>
      </c>
      <c r="O12" s="47">
        <v>633482445</v>
      </c>
      <c r="P12" s="48">
        <v>200001544</v>
      </c>
      <c r="Q12" s="48">
        <v>1000000000</v>
      </c>
      <c r="R12" s="4962"/>
      <c r="S12" s="49" t="s">
        <v>59</v>
      </c>
      <c r="T12" s="49" t="s">
        <v>60</v>
      </c>
      <c r="U12" s="4962"/>
      <c r="V12" s="4965"/>
      <c r="W12" s="4962"/>
      <c r="X12" s="4967"/>
      <c r="Y12" s="2"/>
    </row>
    <row r="13" spans="1:25" ht="14.1" customHeight="1" x14ac:dyDescent="0.2">
      <c r="A13" s="8"/>
      <c r="B13" s="50" t="s">
        <v>1685</v>
      </c>
      <c r="C13" s="1245" t="s">
        <v>2800</v>
      </c>
      <c r="D13" s="2033" t="s">
        <v>40</v>
      </c>
      <c r="E13" s="2026" t="s">
        <v>2130</v>
      </c>
      <c r="F13" s="46">
        <f>SUM(I13/I$11,J13/J$11,K13/K$11,L13/L$11,M13/M$11,N13/N$11,O13/O$11,P13/P$11,Q13/Q$11)/9*100</f>
        <v>101.14283183217579</v>
      </c>
      <c r="G13" s="51">
        <f>49189.61+31229.71+77169.1+78549.35+89985.27+53884.1+24972.12+24345.6+131705.55</f>
        <v>561030.40999999992</v>
      </c>
      <c r="H13" s="70"/>
      <c r="I13" s="896">
        <v>46671100</v>
      </c>
      <c r="J13" s="817">
        <v>346710682</v>
      </c>
      <c r="K13" s="817">
        <v>422850308</v>
      </c>
      <c r="L13" s="817">
        <v>231103170</v>
      </c>
      <c r="M13" s="817">
        <v>561503362</v>
      </c>
      <c r="N13" s="817">
        <v>430975058</v>
      </c>
      <c r="O13" s="817">
        <v>232591564</v>
      </c>
      <c r="P13" s="817">
        <v>26019881</v>
      </c>
      <c r="Q13" s="817">
        <v>137360163</v>
      </c>
      <c r="R13" s="52" t="s">
        <v>1147</v>
      </c>
      <c r="S13" s="2730" t="s">
        <v>62</v>
      </c>
      <c r="T13" s="54">
        <v>1</v>
      </c>
      <c r="U13" s="55">
        <v>43051</v>
      </c>
      <c r="V13" s="56" t="s">
        <v>1693</v>
      </c>
      <c r="W13" s="1699" t="s">
        <v>2504</v>
      </c>
      <c r="X13" s="57">
        <f ca="1">YEARFRAC(U13,X$6)</f>
        <v>0.10555555555555556</v>
      </c>
      <c r="Y13" s="2"/>
    </row>
    <row r="14" spans="1:25" ht="14.1" customHeight="1" x14ac:dyDescent="0.2">
      <c r="A14" s="58">
        <v>2</v>
      </c>
      <c r="B14" s="69" t="s">
        <v>1685</v>
      </c>
      <c r="C14" s="1252" t="s">
        <v>2799</v>
      </c>
      <c r="D14" s="1943" t="s">
        <v>40</v>
      </c>
      <c r="E14" s="2027" t="s">
        <v>2130</v>
      </c>
      <c r="F14" s="60">
        <f>SUM(I14/I$11,J14/J$11,K14/K$11,L14/L$11,M14/M$11,N14/N$11,O14/O$11,P14/P$11,Q14/Q$11)/9*100</f>
        <v>101.18525695455192</v>
      </c>
      <c r="G14" s="61">
        <f>49741.86+31712.38+76118.39+77808.71+89783.65+53518.05+24112.05+29135.29+121070.21</f>
        <v>553000.59</v>
      </c>
      <c r="H14" s="62"/>
      <c r="I14" s="4506">
        <v>46668156</v>
      </c>
      <c r="J14" s="1063">
        <v>346710682</v>
      </c>
      <c r="K14" s="1063">
        <v>421812319</v>
      </c>
      <c r="L14" s="1063">
        <v>231031884</v>
      </c>
      <c r="M14" s="1063">
        <v>561503334</v>
      </c>
      <c r="N14" s="1063">
        <v>430991646</v>
      </c>
      <c r="O14" s="1495">
        <v>232591659</v>
      </c>
      <c r="P14" s="1063">
        <v>26195277</v>
      </c>
      <c r="Q14" s="1063">
        <v>137355417</v>
      </c>
      <c r="R14" s="63" t="s">
        <v>1147</v>
      </c>
      <c r="S14" s="3278" t="s">
        <v>62</v>
      </c>
      <c r="T14" s="64">
        <v>1</v>
      </c>
      <c r="U14" s="65">
        <v>43043</v>
      </c>
      <c r="V14" s="66" t="s">
        <v>1693</v>
      </c>
      <c r="W14" s="2582" t="s">
        <v>2421</v>
      </c>
      <c r="X14" s="67">
        <f ca="1">YEARFRAC(U14,X$6)</f>
        <v>0.12777777777777777</v>
      </c>
      <c r="Y14" s="58">
        <v>2</v>
      </c>
    </row>
    <row r="15" spans="1:25" ht="14.1" customHeight="1" x14ac:dyDescent="0.2">
      <c r="A15" s="58"/>
      <c r="B15" s="50" t="s">
        <v>1685</v>
      </c>
      <c r="C15" s="2155" t="s">
        <v>2493</v>
      </c>
      <c r="D15" s="1272" t="s">
        <v>40</v>
      </c>
      <c r="E15" s="2028" t="s">
        <v>2130</v>
      </c>
      <c r="F15" s="60">
        <f>SUM(I15/I$11,J15/J$11,K15/K$11,L15/L$11,M15/M$11,N15/N$11,O15/O$11,P15/P$11,Q15/Q$11)/9*100</f>
        <v>101.3014003350734</v>
      </c>
      <c r="G15" s="3029">
        <f>38741.06+28247.25+63658.14+34173.13+75913.14+43945.58+8488.43+21843.76+68971.42</f>
        <v>383981.91</v>
      </c>
      <c r="H15" s="2591"/>
      <c r="I15" s="896">
        <v>47785939</v>
      </c>
      <c r="J15" s="817">
        <v>346826158</v>
      </c>
      <c r="K15" s="817">
        <v>421091857</v>
      </c>
      <c r="L15" s="817">
        <v>226233506</v>
      </c>
      <c r="M15" s="817">
        <v>562731164</v>
      </c>
      <c r="N15" s="817">
        <v>431352391</v>
      </c>
      <c r="O15" s="817">
        <v>235820027</v>
      </c>
      <c r="P15" s="817">
        <v>26765911</v>
      </c>
      <c r="Q15" s="817">
        <v>133389008</v>
      </c>
      <c r="R15" s="52" t="s">
        <v>2497</v>
      </c>
      <c r="S15" s="2730" t="s">
        <v>62</v>
      </c>
      <c r="T15" s="3280">
        <v>2</v>
      </c>
      <c r="U15" s="55">
        <v>42971</v>
      </c>
      <c r="V15" s="56" t="s">
        <v>1693</v>
      </c>
      <c r="W15" s="1699" t="s">
        <v>2421</v>
      </c>
      <c r="X15" s="57">
        <f ca="1">YEARFRAC(U15,X$6)</f>
        <v>0.32222222222222224</v>
      </c>
      <c r="Y15" s="58"/>
    </row>
    <row r="16" spans="1:25" ht="14.1" customHeight="1" x14ac:dyDescent="0.2">
      <c r="A16" s="58">
        <v>4</v>
      </c>
      <c r="B16" s="69" t="s">
        <v>1685</v>
      </c>
      <c r="C16" s="2933" t="s">
        <v>2782</v>
      </c>
      <c r="D16" s="1943" t="s">
        <v>40</v>
      </c>
      <c r="E16" s="2029" t="s">
        <v>2130</v>
      </c>
      <c r="F16" s="60">
        <f>SUM(I16/I$11,J16/J$11,K16/K$11,L16/L$11,M16/M$11,N16/N$11,O16/O$11,P16/P$11,Q16/Q$11)/9*100</f>
        <v>101.32949882081475</v>
      </c>
      <c r="G16" s="61">
        <f xml:space="preserve"> 47353.07+27349.43+66438.99+72357.41+81749.68+47000.91+19315.65+27281.6+117120</f>
        <v>505966.74</v>
      </c>
      <c r="H16" s="1882"/>
      <c r="I16" s="4506">
        <v>46969922</v>
      </c>
      <c r="J16" s="1063">
        <v>346777001</v>
      </c>
      <c r="K16" s="1063">
        <v>421914931</v>
      </c>
      <c r="L16" s="1063">
        <v>231235845</v>
      </c>
      <c r="M16" s="1063">
        <v>561645213</v>
      </c>
      <c r="N16" s="1063">
        <v>431014793</v>
      </c>
      <c r="O16" s="1495">
        <v>233422224</v>
      </c>
      <c r="P16" s="1063">
        <v>26225808</v>
      </c>
      <c r="Q16" s="1063">
        <v>137367369</v>
      </c>
      <c r="R16" s="63" t="s">
        <v>1147</v>
      </c>
      <c r="S16" s="3278" t="s">
        <v>62</v>
      </c>
      <c r="T16" s="64">
        <v>1</v>
      </c>
      <c r="U16" s="65">
        <v>42995</v>
      </c>
      <c r="V16" s="66" t="s">
        <v>1693</v>
      </c>
      <c r="W16" s="2582" t="s">
        <v>2504</v>
      </c>
      <c r="X16" s="67">
        <f ca="1">YEARFRAC(U16,X$6)</f>
        <v>0.25833333333333336</v>
      </c>
      <c r="Y16" s="58">
        <v>4</v>
      </c>
    </row>
    <row r="17" spans="1:25" ht="14.1" customHeight="1" x14ac:dyDescent="0.2">
      <c r="A17" s="58"/>
      <c r="B17" s="50" t="s">
        <v>1685</v>
      </c>
      <c r="C17" s="2155" t="s">
        <v>2512</v>
      </c>
      <c r="D17" s="1272" t="s">
        <v>40</v>
      </c>
      <c r="E17" s="2026" t="s">
        <v>2130</v>
      </c>
      <c r="F17" s="60">
        <f t="shared" ref="F17:F45" si="4">SUM(I17/I$11,J17/J$11,K17/K$11,L17/L$11,M17/M$11,N17/N$11,O17/O$11,P17/P$11,Q17/Q$11)/9*100</f>
        <v>102.11066120225529</v>
      </c>
      <c r="G17" s="51">
        <f>44319.46+32319.65+56469.68+57371.73+75395.76+46765.75+13356.64+21049.91+111383.8</f>
        <v>458432.38</v>
      </c>
      <c r="H17" s="2591"/>
      <c r="I17" s="896">
        <v>48706398</v>
      </c>
      <c r="J17" s="817">
        <v>346777082</v>
      </c>
      <c r="K17" s="817">
        <v>422633974</v>
      </c>
      <c r="L17" s="817">
        <v>232069849</v>
      </c>
      <c r="M17" s="817">
        <v>562434645</v>
      </c>
      <c r="N17" s="817">
        <v>431948214</v>
      </c>
      <c r="O17" s="817">
        <v>236574176</v>
      </c>
      <c r="P17" s="817">
        <v>26461132</v>
      </c>
      <c r="Q17" s="817">
        <v>137548841</v>
      </c>
      <c r="R17" s="52" t="s">
        <v>1147</v>
      </c>
      <c r="S17" s="2730" t="s">
        <v>62</v>
      </c>
      <c r="T17" s="54">
        <v>1</v>
      </c>
      <c r="U17" s="55">
        <v>42942</v>
      </c>
      <c r="V17" s="56" t="s">
        <v>1693</v>
      </c>
      <c r="W17" s="1699" t="s">
        <v>2413</v>
      </c>
      <c r="X17" s="57">
        <f t="shared" ref="X17:X45" ca="1" si="5">YEARFRAC(U17,X$6)</f>
        <v>0.4</v>
      </c>
      <c r="Y17" s="58"/>
    </row>
    <row r="18" spans="1:25" ht="14.1" customHeight="1" x14ac:dyDescent="0.2">
      <c r="A18" s="58">
        <v>6</v>
      </c>
      <c r="B18" s="69" t="s">
        <v>1685</v>
      </c>
      <c r="C18" s="2933" t="s">
        <v>2420</v>
      </c>
      <c r="D18" s="1943" t="s">
        <v>40</v>
      </c>
      <c r="E18" s="2027" t="s">
        <v>2130</v>
      </c>
      <c r="F18" s="60">
        <f t="shared" si="4"/>
        <v>102.23361930192701</v>
      </c>
      <c r="G18" s="1795">
        <f>47736.82+16237.39+75704.78+40715.45+87167+45341.03+12341.39+18959.28+92464.92</f>
        <v>436668.06</v>
      </c>
      <c r="H18" s="4844"/>
      <c r="I18" s="1299">
        <v>49735206</v>
      </c>
      <c r="J18" s="1874">
        <v>351349259</v>
      </c>
      <c r="K18" s="1874">
        <v>421384822</v>
      </c>
      <c r="L18" s="1874">
        <v>227337036</v>
      </c>
      <c r="M18" s="1874">
        <v>562928398</v>
      </c>
      <c r="N18" s="1874">
        <v>432200501</v>
      </c>
      <c r="O18" s="1874">
        <v>236064546</v>
      </c>
      <c r="P18" s="1874">
        <v>26974219</v>
      </c>
      <c r="Q18" s="1874">
        <v>134994663</v>
      </c>
      <c r="R18" s="1875" t="s">
        <v>2412</v>
      </c>
      <c r="S18" s="3279" t="s">
        <v>62</v>
      </c>
      <c r="T18" s="4886">
        <v>2</v>
      </c>
      <c r="U18" s="1876">
        <v>42946</v>
      </c>
      <c r="V18" s="1877" t="s">
        <v>1693</v>
      </c>
      <c r="W18" s="2948" t="s">
        <v>2421</v>
      </c>
      <c r="X18" s="1878">
        <f t="shared" ca="1" si="5"/>
        <v>0.3888888888888889</v>
      </c>
      <c r="Y18" s="58">
        <v>6</v>
      </c>
    </row>
    <row r="19" spans="1:25" ht="14.1" customHeight="1" x14ac:dyDescent="0.2">
      <c r="A19" s="58"/>
      <c r="B19" s="50" t="s">
        <v>1685</v>
      </c>
      <c r="C19" s="1213" t="s">
        <v>2514</v>
      </c>
      <c r="D19" s="1272" t="s">
        <v>40</v>
      </c>
      <c r="E19" s="2028" t="s">
        <v>2130</v>
      </c>
      <c r="F19" s="60">
        <f t="shared" si="4"/>
        <v>102.45810003099041</v>
      </c>
      <c r="G19" s="51">
        <f xml:space="preserve"> 47233.67+35453.21+55520.25+55574.29+ 65483.41+39718.46+12624.01+ 20526.94+87645.1</f>
        <v>419779.34000000008</v>
      </c>
      <c r="H19" s="3135"/>
      <c r="I19" s="840">
        <v>48964191</v>
      </c>
      <c r="J19" s="1291">
        <v>348485387</v>
      </c>
      <c r="K19" s="1291">
        <v>424534567</v>
      </c>
      <c r="L19" s="1291">
        <v>233703474</v>
      </c>
      <c r="M19" s="1291">
        <v>562565660</v>
      </c>
      <c r="N19" s="1291">
        <v>433511356</v>
      </c>
      <c r="O19" s="1291">
        <v>238513610</v>
      </c>
      <c r="P19" s="1291">
        <v>26350461</v>
      </c>
      <c r="Q19" s="1291">
        <v>137669049</v>
      </c>
      <c r="R19" s="1870" t="s">
        <v>1147</v>
      </c>
      <c r="S19" s="4515" t="s">
        <v>62</v>
      </c>
      <c r="T19" s="2619">
        <v>1</v>
      </c>
      <c r="U19" s="1871">
        <v>42928</v>
      </c>
      <c r="V19" s="1872" t="s">
        <v>1693</v>
      </c>
      <c r="W19" s="3140" t="s">
        <v>2413</v>
      </c>
      <c r="X19" s="1873">
        <f t="shared" ca="1" si="5"/>
        <v>0.43888888888888888</v>
      </c>
      <c r="Y19" s="58"/>
    </row>
    <row r="20" spans="1:25" ht="14.1" customHeight="1" x14ac:dyDescent="0.2">
      <c r="A20" s="58">
        <v>8</v>
      </c>
      <c r="B20" s="50" t="s">
        <v>1685</v>
      </c>
      <c r="C20" s="1216" t="s">
        <v>2513</v>
      </c>
      <c r="D20" s="1943" t="s">
        <v>40</v>
      </c>
      <c r="E20" s="2029" t="s">
        <v>2130</v>
      </c>
      <c r="F20" s="60">
        <f t="shared" si="4"/>
        <v>102.64390687228344</v>
      </c>
      <c r="G20" s="61">
        <f>43805.7+28021.7+56936.45+55076.91+66644.25+37609.15+11594.54+18821.47+86322.23</f>
        <v>404832.4</v>
      </c>
      <c r="H20" s="62"/>
      <c r="I20" s="1738">
        <v>48868870</v>
      </c>
      <c r="J20" s="1495">
        <v>348458108</v>
      </c>
      <c r="K20" s="1495">
        <v>424398374</v>
      </c>
      <c r="L20" s="1495">
        <v>233691495</v>
      </c>
      <c r="M20" s="1495">
        <v>562640073</v>
      </c>
      <c r="N20" s="1495">
        <v>442079163</v>
      </c>
      <c r="O20" s="1495">
        <v>236722856</v>
      </c>
      <c r="P20" s="1495">
        <v>26527631</v>
      </c>
      <c r="Q20" s="1495">
        <v>137692090</v>
      </c>
      <c r="R20" s="63" t="s">
        <v>1147</v>
      </c>
      <c r="S20" s="3278" t="s">
        <v>62</v>
      </c>
      <c r="T20" s="64">
        <v>1</v>
      </c>
      <c r="U20" s="65">
        <v>42933</v>
      </c>
      <c r="V20" s="66" t="s">
        <v>1693</v>
      </c>
      <c r="W20" s="2582" t="s">
        <v>2413</v>
      </c>
      <c r="X20" s="67">
        <f t="shared" ca="1" si="5"/>
        <v>0.42499999999999999</v>
      </c>
      <c r="Y20" s="58">
        <v>8</v>
      </c>
    </row>
    <row r="21" spans="1:25" ht="14.1" customHeight="1" x14ac:dyDescent="0.2">
      <c r="A21" s="58"/>
      <c r="B21" s="68" t="s">
        <v>1685</v>
      </c>
      <c r="C21" s="1213" t="s">
        <v>2515</v>
      </c>
      <c r="D21" s="2033" t="s">
        <v>40</v>
      </c>
      <c r="E21" s="2026" t="s">
        <v>2130</v>
      </c>
      <c r="F21" s="60">
        <f t="shared" si="4"/>
        <v>103.05629164994872</v>
      </c>
      <c r="G21" s="51">
        <f>39458+28669.61+53993.08+50991.82+62898.4+34243.77+9565.95+19561.31+83324.28</f>
        <v>382706.22</v>
      </c>
      <c r="H21" s="70"/>
      <c r="I21" s="896">
        <v>49060484</v>
      </c>
      <c r="J21" s="817">
        <v>348479834</v>
      </c>
      <c r="K21" s="3145">
        <v>434757780</v>
      </c>
      <c r="L21" s="3145">
        <v>239874795</v>
      </c>
      <c r="M21" s="3145">
        <v>562553213</v>
      </c>
      <c r="N21" s="3145">
        <v>434005002</v>
      </c>
      <c r="O21" s="817">
        <v>238513877</v>
      </c>
      <c r="P21" s="817">
        <v>26309548</v>
      </c>
      <c r="Q21" s="3145">
        <v>137651485</v>
      </c>
      <c r="R21" s="52" t="s">
        <v>1147</v>
      </c>
      <c r="S21" s="71" t="s">
        <v>66</v>
      </c>
      <c r="T21" s="54">
        <v>1</v>
      </c>
      <c r="U21" s="55">
        <v>42449</v>
      </c>
      <c r="V21" s="56" t="s">
        <v>1693</v>
      </c>
      <c r="W21" s="1699" t="s">
        <v>2413</v>
      </c>
      <c r="X21" s="57">
        <f t="shared" ca="1" si="5"/>
        <v>1.75</v>
      </c>
      <c r="Y21" s="58"/>
    </row>
    <row r="22" spans="1:25" ht="14.1" customHeight="1" x14ac:dyDescent="0.25">
      <c r="A22" s="58">
        <v>10</v>
      </c>
      <c r="B22" s="4491" t="s">
        <v>1103</v>
      </c>
      <c r="C22" s="2933" t="s">
        <v>2781</v>
      </c>
      <c r="D22" s="4804"/>
      <c r="E22" s="2029" t="s">
        <v>2130</v>
      </c>
      <c r="F22" s="60">
        <f t="shared" si="4"/>
        <v>104.5663475293438</v>
      </c>
      <c r="G22" s="61">
        <f>85947.9+12439.3+70931.4+151743.5+169303+91987.2+21422.6+58197+268872</f>
        <v>930843.89999999991</v>
      </c>
      <c r="H22" s="1882"/>
      <c r="I22" s="4506">
        <v>61377365</v>
      </c>
      <c r="J22" s="1063">
        <v>345704897</v>
      </c>
      <c r="K22" s="1063">
        <v>407439608</v>
      </c>
      <c r="L22" s="1063">
        <v>228840240</v>
      </c>
      <c r="M22" s="1063">
        <v>573559569</v>
      </c>
      <c r="N22" s="1063">
        <v>446984828</v>
      </c>
      <c r="O22" s="1495">
        <v>230664007</v>
      </c>
      <c r="P22" s="1063">
        <v>26687097</v>
      </c>
      <c r="Q22" s="1063">
        <v>133078034</v>
      </c>
      <c r="R22" s="63" t="s">
        <v>1999</v>
      </c>
      <c r="S22" s="3278" t="s">
        <v>62</v>
      </c>
      <c r="T22" s="64">
        <v>1</v>
      </c>
      <c r="U22" s="65">
        <v>43002</v>
      </c>
      <c r="V22" s="66" t="s">
        <v>2000</v>
      </c>
      <c r="W22" s="66" t="s">
        <v>2411</v>
      </c>
      <c r="X22" s="67">
        <f t="shared" ca="1" si="5"/>
        <v>0.2388888888888889</v>
      </c>
      <c r="Y22" s="58">
        <v>10</v>
      </c>
    </row>
    <row r="23" spans="1:25" ht="14.1" customHeight="1" x14ac:dyDescent="0.2">
      <c r="A23" s="58"/>
      <c r="B23" s="835" t="s">
        <v>1103</v>
      </c>
      <c r="C23" s="2155" t="s">
        <v>2575</v>
      </c>
      <c r="D23" s="1272"/>
      <c r="E23" s="2026" t="s">
        <v>2130</v>
      </c>
      <c r="F23" s="60">
        <f t="shared" si="4"/>
        <v>104.59209857088085</v>
      </c>
      <c r="G23" s="51">
        <f>81281.7+13268.8+75926.1+150172.5+165816.3+98149.6+19187.9+55014.9+267489</f>
        <v>926306.8</v>
      </c>
      <c r="H23" s="2591"/>
      <c r="I23" s="896">
        <v>61233103</v>
      </c>
      <c r="J23" s="817">
        <v>346101265</v>
      </c>
      <c r="K23" s="817">
        <v>407522331</v>
      </c>
      <c r="L23" s="817">
        <v>228844589</v>
      </c>
      <c r="M23" s="817">
        <v>573545001</v>
      </c>
      <c r="N23" s="817">
        <v>446999712</v>
      </c>
      <c r="O23" s="817">
        <v>231434571</v>
      </c>
      <c r="P23" s="817">
        <v>26703358</v>
      </c>
      <c r="Q23" s="817">
        <v>133086797</v>
      </c>
      <c r="R23" s="52" t="s">
        <v>1999</v>
      </c>
      <c r="S23" s="2730" t="s">
        <v>62</v>
      </c>
      <c r="T23" s="54">
        <v>1</v>
      </c>
      <c r="U23" s="55">
        <v>42944</v>
      </c>
      <c r="V23" s="56" t="s">
        <v>2000</v>
      </c>
      <c r="W23" s="56" t="s">
        <v>2411</v>
      </c>
      <c r="X23" s="57">
        <f t="shared" ca="1" si="5"/>
        <v>0.39444444444444443</v>
      </c>
      <c r="Y23" s="58"/>
    </row>
    <row r="24" spans="1:25" ht="14.1" customHeight="1" x14ac:dyDescent="0.2">
      <c r="A24" s="58">
        <v>12</v>
      </c>
      <c r="B24" s="4491" t="s">
        <v>1103</v>
      </c>
      <c r="C24" s="4688" t="s">
        <v>2576</v>
      </c>
      <c r="D24" s="1943"/>
      <c r="E24" s="2029" t="s">
        <v>2130</v>
      </c>
      <c r="F24" s="60">
        <f t="shared" si="4"/>
        <v>104.97140148535063</v>
      </c>
      <c r="G24" s="1795">
        <f>66274.5+12163.9+72713.5+124010.6+140351.1+89840.2+13195.2+54790.1+245996.8</f>
        <v>819335.89999999991</v>
      </c>
      <c r="H24" s="4843"/>
      <c r="I24" s="2573">
        <v>61281551</v>
      </c>
      <c r="J24" s="1495">
        <v>346257534</v>
      </c>
      <c r="K24" s="1495">
        <v>408143523</v>
      </c>
      <c r="L24" s="1495">
        <v>229118397</v>
      </c>
      <c r="M24" s="1495">
        <v>573551188</v>
      </c>
      <c r="N24" s="1495">
        <v>450804397</v>
      </c>
      <c r="O24" s="1495">
        <v>233732828</v>
      </c>
      <c r="P24" s="1495">
        <v>26771737</v>
      </c>
      <c r="Q24" s="1495">
        <v>134215494</v>
      </c>
      <c r="R24" s="63" t="s">
        <v>1999</v>
      </c>
      <c r="S24" s="3278" t="s">
        <v>62</v>
      </c>
      <c r="T24" s="64">
        <v>1</v>
      </c>
      <c r="U24" s="65">
        <v>42771</v>
      </c>
      <c r="V24" s="66" t="s">
        <v>2000</v>
      </c>
      <c r="W24" s="66" t="s">
        <v>2411</v>
      </c>
      <c r="X24" s="67">
        <f t="shared" ca="1" si="5"/>
        <v>0.875</v>
      </c>
      <c r="Y24" s="58">
        <v>12</v>
      </c>
    </row>
    <row r="25" spans="1:25" ht="14.1" customHeight="1" x14ac:dyDescent="0.2">
      <c r="A25" s="58"/>
      <c r="B25" s="50" t="s">
        <v>1685</v>
      </c>
      <c r="C25" s="2155" t="s">
        <v>2405</v>
      </c>
      <c r="D25" s="1272" t="s">
        <v>40</v>
      </c>
      <c r="E25" s="2028" t="s">
        <v>2130</v>
      </c>
      <c r="F25" s="60">
        <f t="shared" si="4"/>
        <v>105.31022743668224</v>
      </c>
      <c r="G25" s="51">
        <f>6275.02+37522.72+8947.03+9007.87+11689.69+11590.57+7432.06+2077.59+11640.84</f>
        <v>106183.38999999998</v>
      </c>
      <c r="H25" s="70"/>
      <c r="I25" s="840">
        <v>53126380</v>
      </c>
      <c r="J25" s="780">
        <v>348777926</v>
      </c>
      <c r="K25" s="780">
        <v>431128495</v>
      </c>
      <c r="L25" s="780">
        <v>237297213</v>
      </c>
      <c r="M25" s="780">
        <v>565299912</v>
      </c>
      <c r="N25" s="780">
        <v>435358235</v>
      </c>
      <c r="O25" s="780">
        <v>240287717</v>
      </c>
      <c r="P25" s="780">
        <v>28013508</v>
      </c>
      <c r="Q25" s="780">
        <v>144832478</v>
      </c>
      <c r="R25" s="73" t="s">
        <v>1154</v>
      </c>
      <c r="S25" s="2762" t="s">
        <v>62</v>
      </c>
      <c r="T25" s="75">
        <v>1</v>
      </c>
      <c r="U25" s="76">
        <v>42926</v>
      </c>
      <c r="V25" s="77" t="s">
        <v>1155</v>
      </c>
      <c r="W25" s="3139" t="s">
        <v>2404</v>
      </c>
      <c r="X25" s="78">
        <f t="shared" ca="1" si="5"/>
        <v>0.44444444444444442</v>
      </c>
      <c r="Y25" s="58"/>
    </row>
    <row r="26" spans="1:25" ht="14.1" customHeight="1" x14ac:dyDescent="0.2">
      <c r="A26" s="58">
        <v>14</v>
      </c>
      <c r="B26" s="59" t="s">
        <v>1685</v>
      </c>
      <c r="C26" s="4798" t="s">
        <v>2278</v>
      </c>
      <c r="D26" s="1943" t="s">
        <v>40</v>
      </c>
      <c r="E26" s="2027" t="s">
        <v>2130</v>
      </c>
      <c r="F26" s="60">
        <f t="shared" si="4"/>
        <v>105.93876498252264</v>
      </c>
      <c r="G26" s="61">
        <f>5368.18+24309.36+8140.62+8120.03+7900.4+8960.01+7254.08+5586.08+2252.42+11140.28</f>
        <v>89031.46</v>
      </c>
      <c r="H26" s="62"/>
      <c r="I26" s="1738">
        <v>53241310</v>
      </c>
      <c r="J26" s="1495">
        <v>348777931</v>
      </c>
      <c r="K26" s="1063">
        <v>441191611</v>
      </c>
      <c r="L26" s="1063">
        <v>243497036</v>
      </c>
      <c r="M26" s="1063">
        <v>565370369</v>
      </c>
      <c r="N26" s="1063">
        <v>435871617</v>
      </c>
      <c r="O26" s="1495">
        <v>240287717</v>
      </c>
      <c r="P26" s="1495">
        <v>28031358</v>
      </c>
      <c r="Q26" s="1063">
        <v>144832478</v>
      </c>
      <c r="R26" s="63" t="s">
        <v>1154</v>
      </c>
      <c r="S26" s="4512" t="s">
        <v>66</v>
      </c>
      <c r="T26" s="64">
        <v>1</v>
      </c>
      <c r="U26" s="65">
        <v>42441</v>
      </c>
      <c r="V26" s="66" t="s">
        <v>1155</v>
      </c>
      <c r="W26" s="2582" t="s">
        <v>2403</v>
      </c>
      <c r="X26" s="67">
        <f t="shared" ca="1" si="5"/>
        <v>1.7722222222222221</v>
      </c>
      <c r="Y26" s="58">
        <v>14</v>
      </c>
    </row>
    <row r="27" spans="1:25" ht="14.1" customHeight="1" x14ac:dyDescent="0.2">
      <c r="A27" s="79"/>
      <c r="B27" s="68" t="s">
        <v>1685</v>
      </c>
      <c r="C27" s="4494" t="s">
        <v>2414</v>
      </c>
      <c r="D27" s="1272" t="s">
        <v>40</v>
      </c>
      <c r="E27" s="2028" t="s">
        <v>2130</v>
      </c>
      <c r="F27" s="60">
        <f t="shared" si="4"/>
        <v>106.64798909146276</v>
      </c>
      <c r="G27" s="51">
        <f>14395+9302+52710+25878+56966+31975+6902+10034+56068</f>
        <v>264230</v>
      </c>
      <c r="H27" s="70"/>
      <c r="I27" s="896">
        <v>61505574</v>
      </c>
      <c r="J27" s="817">
        <v>351379370</v>
      </c>
      <c r="K27" s="817">
        <v>433933153</v>
      </c>
      <c r="L27" s="817">
        <v>235888914</v>
      </c>
      <c r="M27" s="817">
        <v>575453430</v>
      </c>
      <c r="N27" s="817">
        <v>449514772</v>
      </c>
      <c r="O27" s="817">
        <v>237700298</v>
      </c>
      <c r="P27" s="817">
        <v>27014104</v>
      </c>
      <c r="Q27" s="817">
        <v>135698337</v>
      </c>
      <c r="R27" s="52" t="s">
        <v>1708</v>
      </c>
      <c r="S27" s="2730" t="s">
        <v>62</v>
      </c>
      <c r="T27" s="3280">
        <v>2</v>
      </c>
      <c r="U27" s="55">
        <v>41935</v>
      </c>
      <c r="V27" s="56" t="s">
        <v>1693</v>
      </c>
      <c r="W27" s="56" t="s">
        <v>2422</v>
      </c>
      <c r="X27" s="57">
        <f t="shared" ca="1" si="5"/>
        <v>3.1583333333333332</v>
      </c>
      <c r="Y27" s="79"/>
    </row>
    <row r="28" spans="1:25" ht="14.1" customHeight="1" x14ac:dyDescent="0.2">
      <c r="A28" s="79">
        <v>16</v>
      </c>
      <c r="B28" s="1415" t="s">
        <v>1103</v>
      </c>
      <c r="C28" s="2949" t="s">
        <v>2577</v>
      </c>
      <c r="D28" s="1943"/>
      <c r="E28" s="2029" t="s">
        <v>2130</v>
      </c>
      <c r="F28" s="60">
        <f t="shared" si="4"/>
        <v>106.74536925158782</v>
      </c>
      <c r="G28" s="61">
        <f>17147+7961+27916+36856.4+27584+12270.7+11955.1+53587.1</f>
        <v>195277.3</v>
      </c>
      <c r="H28" s="1882"/>
      <c r="I28" s="1738">
        <v>63215518</v>
      </c>
      <c r="J28" s="1495">
        <v>346611860</v>
      </c>
      <c r="K28" s="1495">
        <v>411759623</v>
      </c>
      <c r="L28" s="1495">
        <v>231691842</v>
      </c>
      <c r="M28" s="1495">
        <v>574445831</v>
      </c>
      <c r="N28" s="1495">
        <v>457927473</v>
      </c>
      <c r="O28" s="1495">
        <v>235288566</v>
      </c>
      <c r="P28" s="1495">
        <v>27429242</v>
      </c>
      <c r="Q28" s="1495">
        <v>140444335</v>
      </c>
      <c r="R28" s="63" t="s">
        <v>1999</v>
      </c>
      <c r="S28" s="3278" t="s">
        <v>62</v>
      </c>
      <c r="T28" s="64">
        <v>1</v>
      </c>
      <c r="U28" s="65">
        <v>42645</v>
      </c>
      <c r="V28" s="66" t="s">
        <v>2000</v>
      </c>
      <c r="W28" s="66" t="s">
        <v>2411</v>
      </c>
      <c r="X28" s="67">
        <f t="shared" ca="1" si="5"/>
        <v>1.2166666666666666</v>
      </c>
      <c r="Y28" s="79">
        <v>16</v>
      </c>
    </row>
    <row r="29" spans="1:25" ht="14.1" customHeight="1" x14ac:dyDescent="0.2">
      <c r="A29" s="79"/>
      <c r="B29" s="68" t="s">
        <v>1685</v>
      </c>
      <c r="C29" s="1213" t="s">
        <v>2415</v>
      </c>
      <c r="D29" s="1272" t="s">
        <v>40</v>
      </c>
      <c r="E29" s="2028" t="s">
        <v>2130</v>
      </c>
      <c r="F29" s="60">
        <f t="shared" si="4"/>
        <v>106.81230985615279</v>
      </c>
      <c r="G29" s="51">
        <f>28293+9137+59152.6+32187.7+60311.4+34884.6+8866.3+13170.8+66102.7+40024.4</f>
        <v>352130.5</v>
      </c>
      <c r="H29" s="70"/>
      <c r="I29" s="896">
        <v>61549089</v>
      </c>
      <c r="J29" s="817">
        <v>356166718</v>
      </c>
      <c r="K29" s="817">
        <v>433933154</v>
      </c>
      <c r="L29" s="817">
        <v>235889030</v>
      </c>
      <c r="M29" s="817">
        <v>575453441</v>
      </c>
      <c r="N29" s="817">
        <v>449514775</v>
      </c>
      <c r="O29" s="817">
        <v>237700298</v>
      </c>
      <c r="P29" s="817">
        <v>27014428</v>
      </c>
      <c r="Q29" s="817">
        <v>135697720</v>
      </c>
      <c r="R29" s="52" t="s">
        <v>1692</v>
      </c>
      <c r="S29" s="53" t="s">
        <v>66</v>
      </c>
      <c r="T29" s="54">
        <v>1</v>
      </c>
      <c r="U29" s="55">
        <v>41899</v>
      </c>
      <c r="V29" s="56" t="s">
        <v>1693</v>
      </c>
      <c r="W29" s="56" t="s">
        <v>2422</v>
      </c>
      <c r="X29" s="57">
        <f t="shared" ca="1" si="5"/>
        <v>3.2583333333333333</v>
      </c>
      <c r="Y29" s="79"/>
    </row>
    <row r="30" spans="1:25" ht="14.1" customHeight="1" x14ac:dyDescent="0.2">
      <c r="A30" s="79">
        <v>18</v>
      </c>
      <c r="B30" s="1415" t="s">
        <v>1103</v>
      </c>
      <c r="C30" s="4688" t="s">
        <v>2578</v>
      </c>
      <c r="D30" s="1943"/>
      <c r="E30" s="2029" t="s">
        <v>2130</v>
      </c>
      <c r="F30" s="60">
        <f t="shared" si="4"/>
        <v>106.81796209056593</v>
      </c>
      <c r="G30" s="61">
        <f>18185.9+9091.4+30661.4+33177.2+37746.6+30494.1+12845.9+11259.4+47657</f>
        <v>231118.9</v>
      </c>
      <c r="H30" s="1882"/>
      <c r="I30" s="1738">
        <v>63223592</v>
      </c>
      <c r="J30" s="1495">
        <v>346611954</v>
      </c>
      <c r="K30" s="1495">
        <v>413723433</v>
      </c>
      <c r="L30" s="1495">
        <v>231851574</v>
      </c>
      <c r="M30" s="1495">
        <v>574454333</v>
      </c>
      <c r="N30" s="1495">
        <v>458069484</v>
      </c>
      <c r="O30" s="1495">
        <v>235288610</v>
      </c>
      <c r="P30" s="1495">
        <v>27434845</v>
      </c>
      <c r="Q30" s="1495">
        <v>140480794</v>
      </c>
      <c r="R30" s="63" t="s">
        <v>1999</v>
      </c>
      <c r="S30" s="3278" t="s">
        <v>62</v>
      </c>
      <c r="T30" s="64">
        <v>1</v>
      </c>
      <c r="U30" s="65">
        <v>42575</v>
      </c>
      <c r="V30" s="66" t="s">
        <v>2000</v>
      </c>
      <c r="W30" s="66" t="s">
        <v>2411</v>
      </c>
      <c r="X30" s="67">
        <f t="shared" ca="1" si="5"/>
        <v>1.4055555555555554</v>
      </c>
      <c r="Y30" s="79">
        <v>18</v>
      </c>
    </row>
    <row r="31" spans="1:25" ht="14.1" customHeight="1" x14ac:dyDescent="0.2">
      <c r="A31" s="79"/>
      <c r="B31" s="835" t="s">
        <v>1103</v>
      </c>
      <c r="C31" s="2934" t="s">
        <v>2579</v>
      </c>
      <c r="D31" s="1272"/>
      <c r="E31" s="2028" t="s">
        <v>2130</v>
      </c>
      <c r="F31" s="60">
        <f t="shared" si="4"/>
        <v>106.91503017106538</v>
      </c>
      <c r="G31" s="51">
        <f>19372.8+9657.8+(36474.4+0)+38798.3+44773.4+22866.4+12359.4+12387.5+50690.2</f>
        <v>247380.2</v>
      </c>
      <c r="H31" s="2591"/>
      <c r="I31" s="896">
        <v>63366257</v>
      </c>
      <c r="J31" s="817">
        <v>346612016</v>
      </c>
      <c r="K31" s="817">
        <v>422313379</v>
      </c>
      <c r="L31" s="817">
        <v>231837261</v>
      </c>
      <c r="M31" s="817">
        <v>574478286</v>
      </c>
      <c r="N31" s="817">
        <v>447755407</v>
      </c>
      <c r="O31" s="817">
        <v>237220563</v>
      </c>
      <c r="P31" s="817">
        <v>27445838</v>
      </c>
      <c r="Q31" s="817">
        <v>140447612</v>
      </c>
      <c r="R31" s="52" t="s">
        <v>1999</v>
      </c>
      <c r="S31" s="2730" t="s">
        <v>62</v>
      </c>
      <c r="T31" s="54">
        <v>1</v>
      </c>
      <c r="U31" s="55">
        <v>42463</v>
      </c>
      <c r="V31" s="56" t="s">
        <v>2000</v>
      </c>
      <c r="W31" s="56" t="s">
        <v>2411</v>
      </c>
      <c r="X31" s="57">
        <f t="shared" ca="1" si="5"/>
        <v>1.7138888888888888</v>
      </c>
      <c r="Y31" s="79"/>
    </row>
    <row r="32" spans="1:25" ht="14.1" customHeight="1" x14ac:dyDescent="0.2">
      <c r="A32" s="79">
        <v>20</v>
      </c>
      <c r="B32" s="50" t="s">
        <v>1685</v>
      </c>
      <c r="C32" s="1213" t="s">
        <v>2511</v>
      </c>
      <c r="D32" s="1272" t="s">
        <v>40</v>
      </c>
      <c r="E32" s="2029" t="s">
        <v>2130</v>
      </c>
      <c r="F32" s="60">
        <f t="shared" si="4"/>
        <v>107.45651962975171</v>
      </c>
      <c r="G32" s="51">
        <f>34415+43103+67745+50793+70906+42011+10905+22341+69131</f>
        <v>411350</v>
      </c>
      <c r="H32" s="3144"/>
      <c r="I32" s="896">
        <v>62163043</v>
      </c>
      <c r="J32" s="1739">
        <v>352097050</v>
      </c>
      <c r="K32" s="1739">
        <v>434371759</v>
      </c>
      <c r="L32" s="1739">
        <v>245084340</v>
      </c>
      <c r="M32" s="1739">
        <v>574680812</v>
      </c>
      <c r="N32" s="1739">
        <v>449480930</v>
      </c>
      <c r="O32" s="1739">
        <v>238710142</v>
      </c>
      <c r="P32" s="1739">
        <v>27008997</v>
      </c>
      <c r="Q32" s="1739">
        <v>137315788</v>
      </c>
      <c r="R32" s="52" t="s">
        <v>1148</v>
      </c>
      <c r="S32" s="53" t="s">
        <v>66</v>
      </c>
      <c r="T32" s="54">
        <v>1</v>
      </c>
      <c r="U32" s="55">
        <v>40962</v>
      </c>
      <c r="V32" s="56" t="s">
        <v>1693</v>
      </c>
      <c r="W32" s="56" t="s">
        <v>2423</v>
      </c>
      <c r="X32" s="57">
        <f t="shared" ca="1" si="5"/>
        <v>5.8250000000000002</v>
      </c>
      <c r="Y32" s="79">
        <v>20</v>
      </c>
    </row>
    <row r="33" spans="1:25" ht="14.1" customHeight="1" x14ac:dyDescent="0.2">
      <c r="A33" s="79"/>
      <c r="B33" s="68" t="s">
        <v>1685</v>
      </c>
      <c r="C33" s="4797" t="s">
        <v>2416</v>
      </c>
      <c r="D33" s="1941" t="s">
        <v>40</v>
      </c>
      <c r="E33" s="2028" t="s">
        <v>2130</v>
      </c>
      <c r="F33" s="60">
        <f t="shared" si="4"/>
        <v>107.80841591969556</v>
      </c>
      <c r="G33" s="4829">
        <f>28693+26222+54504+29343+55899+34116+7555+12283+76025</f>
        <v>324640</v>
      </c>
      <c r="H33" s="4842"/>
      <c r="I33" s="819">
        <v>60602701</v>
      </c>
      <c r="J33" s="1740">
        <v>396480950</v>
      </c>
      <c r="K33" s="1740">
        <v>433934887</v>
      </c>
      <c r="L33" s="1740">
        <v>235217901</v>
      </c>
      <c r="M33" s="1740">
        <v>575447535</v>
      </c>
      <c r="N33" s="1740">
        <v>449515452</v>
      </c>
      <c r="O33" s="1740">
        <v>237810065</v>
      </c>
      <c r="P33" s="1740">
        <v>26799567</v>
      </c>
      <c r="Q33" s="1740">
        <v>136238946</v>
      </c>
      <c r="R33" s="80" t="s">
        <v>1596</v>
      </c>
      <c r="S33" s="4875" t="s">
        <v>62</v>
      </c>
      <c r="T33" s="82">
        <v>1</v>
      </c>
      <c r="U33" s="83">
        <v>41877</v>
      </c>
      <c r="V33" s="84" t="s">
        <v>1693</v>
      </c>
      <c r="W33" s="84" t="s">
        <v>2424</v>
      </c>
      <c r="X33" s="85">
        <f t="shared" ca="1" si="5"/>
        <v>3.3166666666666669</v>
      </c>
      <c r="Y33" s="79"/>
    </row>
    <row r="34" spans="1:25" ht="14.1" customHeight="1" x14ac:dyDescent="0.2">
      <c r="A34" s="79">
        <v>22</v>
      </c>
      <c r="B34" s="69" t="s">
        <v>1685</v>
      </c>
      <c r="C34" s="1264" t="s">
        <v>2510</v>
      </c>
      <c r="D34" s="1539" t="s">
        <v>40</v>
      </c>
      <c r="E34" s="2029"/>
      <c r="F34" s="60">
        <f t="shared" si="4"/>
        <v>107.88645148783935</v>
      </c>
      <c r="G34" s="4828"/>
      <c r="H34" s="4504"/>
      <c r="I34" s="822">
        <v>62488700</v>
      </c>
      <c r="J34" s="1741">
        <v>352087376</v>
      </c>
      <c r="K34" s="1741">
        <v>435735554</v>
      </c>
      <c r="L34" s="1741">
        <v>241977584</v>
      </c>
      <c r="M34" s="1741">
        <f>574856201-59215</f>
        <v>574796986</v>
      </c>
      <c r="N34" s="1741">
        <v>449629451</v>
      </c>
      <c r="O34" s="1741">
        <f>239247102-59215</f>
        <v>239187887</v>
      </c>
      <c r="P34" s="1741">
        <f>27044049-59215</f>
        <v>26984834</v>
      </c>
      <c r="Q34" s="1741">
        <f>142756006-59215</f>
        <v>142696791</v>
      </c>
      <c r="R34" s="86" t="s">
        <v>1147</v>
      </c>
      <c r="S34" s="4513" t="s">
        <v>66</v>
      </c>
      <c r="T34" s="1357">
        <v>1</v>
      </c>
      <c r="U34" s="87">
        <v>40197</v>
      </c>
      <c r="V34" s="88" t="s">
        <v>1693</v>
      </c>
      <c r="W34" s="88" t="s">
        <v>2425</v>
      </c>
      <c r="X34" s="89">
        <f t="shared" ca="1" si="5"/>
        <v>7.9194444444444443</v>
      </c>
      <c r="Y34" s="79">
        <v>22</v>
      </c>
    </row>
    <row r="35" spans="1:25" ht="14.1" customHeight="1" x14ac:dyDescent="0.2">
      <c r="A35" s="79"/>
      <c r="B35" s="50" t="s">
        <v>1685</v>
      </c>
      <c r="C35" s="4497" t="s">
        <v>2004</v>
      </c>
      <c r="D35" s="1941" t="s">
        <v>40</v>
      </c>
      <c r="E35" s="2028" t="s">
        <v>2130</v>
      </c>
      <c r="F35" s="60">
        <f t="shared" si="4"/>
        <v>107.9679546703959</v>
      </c>
      <c r="G35" s="90">
        <f>6494+31007+56605+69899+44590+20650+13065+64401+49176</f>
        <v>355887</v>
      </c>
      <c r="H35" s="4505"/>
      <c r="I35" s="807">
        <v>62488700</v>
      </c>
      <c r="J35" s="4846">
        <v>352087524</v>
      </c>
      <c r="K35" s="4846">
        <v>435735554</v>
      </c>
      <c r="L35" s="1739">
        <v>241977584</v>
      </c>
      <c r="M35" s="4846">
        <v>574796450</v>
      </c>
      <c r="N35" s="4846">
        <v>449629451</v>
      </c>
      <c r="O35" s="1739">
        <v>239134896</v>
      </c>
      <c r="P35" s="4846">
        <v>27183409</v>
      </c>
      <c r="Q35" s="4846">
        <v>142687992</v>
      </c>
      <c r="R35" s="52" t="s">
        <v>1147</v>
      </c>
      <c r="S35" s="53" t="s">
        <v>66</v>
      </c>
      <c r="T35" s="54">
        <v>1</v>
      </c>
      <c r="U35" s="55">
        <v>40294</v>
      </c>
      <c r="V35" s="56" t="s">
        <v>1693</v>
      </c>
      <c r="W35" s="56" t="s">
        <v>2425</v>
      </c>
      <c r="X35" s="57">
        <f t="shared" ca="1" si="5"/>
        <v>7.65</v>
      </c>
      <c r="Y35" s="79"/>
    </row>
    <row r="36" spans="1:25" ht="14.1" customHeight="1" x14ac:dyDescent="0.2">
      <c r="A36" s="79">
        <v>24</v>
      </c>
      <c r="B36" s="50" t="s">
        <v>1685</v>
      </c>
      <c r="C36" s="1263" t="s">
        <v>2005</v>
      </c>
      <c r="D36" s="1272" t="s">
        <v>40</v>
      </c>
      <c r="E36" s="2029" t="s">
        <v>2130</v>
      </c>
      <c r="F36" s="60">
        <f t="shared" si="4"/>
        <v>107.97164405849348</v>
      </c>
      <c r="G36" s="1680"/>
      <c r="H36" s="4505"/>
      <c r="I36" s="815">
        <v>62488115</v>
      </c>
      <c r="J36" s="1739">
        <v>352087130</v>
      </c>
      <c r="K36" s="1739">
        <v>435730955</v>
      </c>
      <c r="L36" s="1739">
        <v>241977585</v>
      </c>
      <c r="M36" s="1739">
        <v>574796721</v>
      </c>
      <c r="N36" s="1739">
        <v>449630228</v>
      </c>
      <c r="O36" s="1739">
        <v>239135085</v>
      </c>
      <c r="P36" s="1739">
        <v>27191953</v>
      </c>
      <c r="Q36" s="1739">
        <v>142691390</v>
      </c>
      <c r="R36" s="52" t="s">
        <v>1147</v>
      </c>
      <c r="S36" s="53" t="s">
        <v>66</v>
      </c>
      <c r="T36" s="54">
        <v>1</v>
      </c>
      <c r="U36" s="55">
        <v>40133</v>
      </c>
      <c r="V36" s="56" t="s">
        <v>1693</v>
      </c>
      <c r="W36" s="56" t="s">
        <v>2425</v>
      </c>
      <c r="X36" s="57">
        <f t="shared" ca="1" si="5"/>
        <v>8.094444444444445</v>
      </c>
      <c r="Y36" s="79">
        <v>24</v>
      </c>
    </row>
    <row r="37" spans="1:25" ht="14.1" customHeight="1" x14ac:dyDescent="0.2">
      <c r="A37" s="79"/>
      <c r="B37" s="68" t="s">
        <v>1685</v>
      </c>
      <c r="C37" s="4797" t="s">
        <v>2016</v>
      </c>
      <c r="D37" s="1941" t="s">
        <v>40</v>
      </c>
      <c r="E37" s="2028" t="s">
        <v>2130</v>
      </c>
      <c r="F37" s="60">
        <f t="shared" si="4"/>
        <v>107.95750888838694</v>
      </c>
      <c r="G37" s="4827"/>
      <c r="H37" s="4841"/>
      <c r="I37" s="819">
        <v>51377216</v>
      </c>
      <c r="J37" s="1740">
        <v>404620876</v>
      </c>
      <c r="K37" s="1740">
        <v>429516410</v>
      </c>
      <c r="L37" s="1740">
        <v>241416251</v>
      </c>
      <c r="M37" s="1740">
        <v>574673628</v>
      </c>
      <c r="N37" s="1740">
        <v>435967816</v>
      </c>
      <c r="O37" s="1740">
        <v>271519579</v>
      </c>
      <c r="P37" s="1740">
        <v>26674504</v>
      </c>
      <c r="Q37" s="1740">
        <v>144553660</v>
      </c>
      <c r="R37" s="80" t="s">
        <v>1146</v>
      </c>
      <c r="S37" s="81" t="s">
        <v>66</v>
      </c>
      <c r="T37" s="82">
        <v>1</v>
      </c>
      <c r="U37" s="83">
        <v>39393</v>
      </c>
      <c r="V37" s="84" t="s">
        <v>1693</v>
      </c>
      <c r="W37" s="84" t="s">
        <v>2021</v>
      </c>
      <c r="X37" s="85">
        <f t="shared" ca="1" si="5"/>
        <v>10.119444444444444</v>
      </c>
      <c r="Y37" s="79"/>
    </row>
    <row r="38" spans="1:25" ht="14.1" customHeight="1" x14ac:dyDescent="0.2">
      <c r="A38" s="79">
        <v>26</v>
      </c>
      <c r="B38" s="59" t="s">
        <v>1685</v>
      </c>
      <c r="C38" s="1216" t="s">
        <v>2018</v>
      </c>
      <c r="D38" s="1539" t="s">
        <v>40</v>
      </c>
      <c r="E38" s="2029" t="s">
        <v>2130</v>
      </c>
      <c r="F38" s="60">
        <f t="shared" si="4"/>
        <v>108.0402045912689</v>
      </c>
      <c r="G38" s="1351">
        <f>45522+27103+70044+55971+90806+56824+14142+19406+125435</f>
        <v>505253</v>
      </c>
      <c r="H38" s="3724"/>
      <c r="I38" s="2592">
        <v>62548005</v>
      </c>
      <c r="J38" s="1780">
        <v>351871824</v>
      </c>
      <c r="K38" s="1780">
        <v>434677908</v>
      </c>
      <c r="L38" s="1780">
        <v>244334038</v>
      </c>
      <c r="M38" s="1780">
        <v>575420346</v>
      </c>
      <c r="N38" s="1780">
        <v>449533831</v>
      </c>
      <c r="O38" s="1780">
        <v>238312656</v>
      </c>
      <c r="P38" s="1741">
        <v>27841287</v>
      </c>
      <c r="Q38" s="1741">
        <v>139417894</v>
      </c>
      <c r="R38" s="1672" t="s">
        <v>1148</v>
      </c>
      <c r="S38" s="4876" t="s">
        <v>66</v>
      </c>
      <c r="T38" s="1673">
        <v>1</v>
      </c>
      <c r="U38" s="1674">
        <v>41018</v>
      </c>
      <c r="V38" s="1675" t="s">
        <v>1693</v>
      </c>
      <c r="W38" s="1675" t="s">
        <v>2423</v>
      </c>
      <c r="X38" s="1676">
        <f t="shared" ca="1" si="5"/>
        <v>5.6694444444444443</v>
      </c>
      <c r="Y38" s="79">
        <v>26</v>
      </c>
    </row>
    <row r="39" spans="1:25" ht="14.1" customHeight="1" x14ac:dyDescent="0.2">
      <c r="A39" s="79"/>
      <c r="B39" s="50" t="s">
        <v>1685</v>
      </c>
      <c r="C39" s="2611" t="s">
        <v>2017</v>
      </c>
      <c r="D39" s="1272" t="s">
        <v>40</v>
      </c>
      <c r="E39" s="2028" t="s">
        <v>2130</v>
      </c>
      <c r="F39" s="60">
        <f t="shared" si="4"/>
        <v>108.09404925068651</v>
      </c>
      <c r="G39" s="90">
        <f>10479+31807+66712+78170+76387+32315+22538+66319+36253</f>
        <v>420980</v>
      </c>
      <c r="H39" s="1345"/>
      <c r="I39" s="815">
        <v>62909147</v>
      </c>
      <c r="J39" s="4846">
        <v>352161197</v>
      </c>
      <c r="K39" s="1739">
        <v>435202259</v>
      </c>
      <c r="L39" s="1739">
        <v>246695368</v>
      </c>
      <c r="M39" s="1739">
        <v>574836562</v>
      </c>
      <c r="N39" s="1739">
        <v>449630228</v>
      </c>
      <c r="O39" s="1739">
        <v>239023297</v>
      </c>
      <c r="P39" s="1739">
        <v>27273252</v>
      </c>
      <c r="Q39" s="1739">
        <v>139965098</v>
      </c>
      <c r="R39" s="52" t="s">
        <v>1148</v>
      </c>
      <c r="S39" s="71" t="s">
        <v>66</v>
      </c>
      <c r="T39" s="54">
        <v>1</v>
      </c>
      <c r="U39" s="55">
        <v>40950</v>
      </c>
      <c r="V39" s="56" t="s">
        <v>1693</v>
      </c>
      <c r="W39" s="56" t="s">
        <v>2426</v>
      </c>
      <c r="X39" s="57">
        <f t="shared" ca="1" si="5"/>
        <v>5.8583333333333334</v>
      </c>
      <c r="Y39" s="79"/>
    </row>
    <row r="40" spans="1:25" ht="14.1" customHeight="1" x14ac:dyDescent="0.2">
      <c r="A40" s="79">
        <v>28</v>
      </c>
      <c r="B40" s="50" t="s">
        <v>1685</v>
      </c>
      <c r="C40" s="1213" t="s">
        <v>2516</v>
      </c>
      <c r="D40" s="1943" t="s">
        <v>40</v>
      </c>
      <c r="E40" s="2029" t="s">
        <v>2130</v>
      </c>
      <c r="F40" s="60">
        <f t="shared" si="4"/>
        <v>108.50497646565378</v>
      </c>
      <c r="G40" s="90">
        <f>31711+12182+57326+72121+61082+36899+10366+22423+82490</f>
        <v>386600</v>
      </c>
      <c r="H40" s="97"/>
      <c r="I40" s="815">
        <v>62476495</v>
      </c>
      <c r="J40" s="1739">
        <v>373943683</v>
      </c>
      <c r="K40" s="1739">
        <v>434665376</v>
      </c>
      <c r="L40" s="1739">
        <v>245375759</v>
      </c>
      <c r="M40" s="1739">
        <v>576023297</v>
      </c>
      <c r="N40" s="1739">
        <v>458504133</v>
      </c>
      <c r="O40" s="1739">
        <v>238447461</v>
      </c>
      <c r="P40" s="1739">
        <v>26992345</v>
      </c>
      <c r="Q40" s="1739">
        <v>137434554</v>
      </c>
      <c r="R40" s="52" t="s">
        <v>1148</v>
      </c>
      <c r="S40" s="71" t="s">
        <v>66</v>
      </c>
      <c r="T40" s="54">
        <v>1</v>
      </c>
      <c r="U40" s="55">
        <v>41437</v>
      </c>
      <c r="V40" s="56" t="s">
        <v>1693</v>
      </c>
      <c r="W40" s="2628" t="s">
        <v>2423</v>
      </c>
      <c r="X40" s="57">
        <f t="shared" ca="1" si="5"/>
        <v>4.5222222222222221</v>
      </c>
      <c r="Y40" s="79">
        <v>28</v>
      </c>
    </row>
    <row r="41" spans="1:25" ht="14.1" customHeight="1" x14ac:dyDescent="0.2">
      <c r="A41" s="79"/>
      <c r="B41" s="68" t="s">
        <v>1685</v>
      </c>
      <c r="C41" s="1214" t="s">
        <v>2417</v>
      </c>
      <c r="D41" s="1272" t="s">
        <v>40</v>
      </c>
      <c r="E41" s="2028" t="s">
        <v>2130</v>
      </c>
      <c r="F41" s="60">
        <f t="shared" si="4"/>
        <v>108.79753841369595</v>
      </c>
      <c r="G41" s="1350">
        <f>27903+24872+54940+35148+57534+33515+7886+20450+61673</f>
        <v>323921</v>
      </c>
      <c r="H41" s="4840"/>
      <c r="I41" s="819">
        <v>61694541</v>
      </c>
      <c r="J41" s="1740">
        <v>396412909</v>
      </c>
      <c r="K41" s="1740">
        <v>434081484</v>
      </c>
      <c r="L41" s="1740">
        <v>251063732</v>
      </c>
      <c r="M41" s="1740">
        <v>575610214</v>
      </c>
      <c r="N41" s="1740">
        <v>449693824</v>
      </c>
      <c r="O41" s="1740">
        <v>237826913</v>
      </c>
      <c r="P41" s="1740">
        <v>26896305</v>
      </c>
      <c r="Q41" s="1740">
        <v>135031369</v>
      </c>
      <c r="R41" s="80" t="s">
        <v>1593</v>
      </c>
      <c r="S41" s="4875" t="s">
        <v>62</v>
      </c>
      <c r="T41" s="82">
        <v>1</v>
      </c>
      <c r="U41" s="83">
        <v>41860</v>
      </c>
      <c r="V41" s="84" t="s">
        <v>1693</v>
      </c>
      <c r="W41" s="56" t="s">
        <v>2424</v>
      </c>
      <c r="X41" s="85">
        <f t="shared" ca="1" si="5"/>
        <v>3.3638888888888889</v>
      </c>
      <c r="Y41" s="79"/>
    </row>
    <row r="42" spans="1:25" ht="14.1" customHeight="1" x14ac:dyDescent="0.2">
      <c r="A42" s="79">
        <v>30</v>
      </c>
      <c r="B42" s="59" t="s">
        <v>1685</v>
      </c>
      <c r="C42" s="3130" t="s">
        <v>1309</v>
      </c>
      <c r="D42" s="1539" t="s">
        <v>40</v>
      </c>
      <c r="E42" s="2029" t="s">
        <v>2130</v>
      </c>
      <c r="F42" s="60">
        <f t="shared" si="4"/>
        <v>109.71889893208149</v>
      </c>
      <c r="G42" s="1351">
        <f>4642+27004+8836+9244+9552+7429+7077+2618+13097</f>
        <v>89499</v>
      </c>
      <c r="H42" s="4503"/>
      <c r="I42" s="822">
        <v>65360422</v>
      </c>
      <c r="J42" s="1741">
        <v>353314689</v>
      </c>
      <c r="K42" s="1741">
        <v>441191611</v>
      </c>
      <c r="L42" s="1741">
        <v>243526188</v>
      </c>
      <c r="M42" s="1741">
        <v>575704909</v>
      </c>
      <c r="N42" s="1741">
        <v>450939510</v>
      </c>
      <c r="O42" s="1741">
        <v>240287717</v>
      </c>
      <c r="P42" s="1741">
        <v>28393179</v>
      </c>
      <c r="Q42" s="1741">
        <v>144832478</v>
      </c>
      <c r="R42" s="93" t="s">
        <v>1154</v>
      </c>
      <c r="S42" s="92" t="s">
        <v>66</v>
      </c>
      <c r="T42" s="94">
        <v>1</v>
      </c>
      <c r="U42" s="95">
        <v>41042</v>
      </c>
      <c r="V42" s="96" t="s">
        <v>1155</v>
      </c>
      <c r="W42" s="96" t="s">
        <v>2427</v>
      </c>
      <c r="X42" s="89">
        <f t="shared" ca="1" si="5"/>
        <v>5.6027777777777779</v>
      </c>
      <c r="Y42" s="79">
        <v>30</v>
      </c>
    </row>
    <row r="43" spans="1:25" ht="14.1" customHeight="1" x14ac:dyDescent="0.2">
      <c r="A43" s="79"/>
      <c r="B43" s="50" t="s">
        <v>1685</v>
      </c>
      <c r="C43" s="4496" t="s">
        <v>1308</v>
      </c>
      <c r="D43" s="1272" t="s">
        <v>40</v>
      </c>
      <c r="E43" s="2028" t="s">
        <v>2130</v>
      </c>
      <c r="F43" s="60">
        <f t="shared" si="4"/>
        <v>110.14865050217675</v>
      </c>
      <c r="G43" s="90">
        <f>3790+28502+8011+9313+9018+7200+6618+2394+11487</f>
        <v>86333</v>
      </c>
      <c r="H43" s="97"/>
      <c r="I43" s="1716">
        <v>66179262</v>
      </c>
      <c r="J43" s="2614">
        <v>353222698</v>
      </c>
      <c r="K43" s="2614">
        <v>441963777</v>
      </c>
      <c r="L43" s="2614">
        <v>243218833</v>
      </c>
      <c r="M43" s="2614">
        <v>575873297</v>
      </c>
      <c r="N43" s="2614">
        <v>450963177</v>
      </c>
      <c r="O43" s="2614">
        <v>240369821</v>
      </c>
      <c r="P43" s="2614">
        <v>28633324</v>
      </c>
      <c r="Q43" s="3136">
        <v>146285836</v>
      </c>
      <c r="R43" s="52" t="s">
        <v>1154</v>
      </c>
      <c r="S43" s="71" t="s">
        <v>66</v>
      </c>
      <c r="T43" s="54">
        <v>1</v>
      </c>
      <c r="U43" s="55">
        <v>41009</v>
      </c>
      <c r="V43" s="56" t="s">
        <v>1155</v>
      </c>
      <c r="W43" s="56" t="s">
        <v>2427</v>
      </c>
      <c r="X43" s="57">
        <f t="shared" ca="1" si="5"/>
        <v>5.6944444444444446</v>
      </c>
      <c r="Y43" s="79"/>
    </row>
    <row r="44" spans="1:25" ht="14.1" customHeight="1" x14ac:dyDescent="0.2">
      <c r="A44" s="79">
        <v>32</v>
      </c>
      <c r="B44" s="3127" t="s">
        <v>1685</v>
      </c>
      <c r="C44" s="1212" t="s">
        <v>1307</v>
      </c>
      <c r="D44" s="1943" t="s">
        <v>40</v>
      </c>
      <c r="E44" s="2029" t="s">
        <v>2130</v>
      </c>
      <c r="F44" s="60">
        <f t="shared" si="4"/>
        <v>110.62825329354007</v>
      </c>
      <c r="G44" s="4499">
        <f>3863+23100+8131+8864+8324+6819+6441+2199+11844</f>
        <v>79585</v>
      </c>
      <c r="H44" s="2617"/>
      <c r="I44" s="1716">
        <v>67213032</v>
      </c>
      <c r="J44" s="2614">
        <v>353305710</v>
      </c>
      <c r="K44" s="2614">
        <v>441952834</v>
      </c>
      <c r="L44" s="2614">
        <v>245325938</v>
      </c>
      <c r="M44" s="2614">
        <v>575926607</v>
      </c>
      <c r="N44" s="2614">
        <v>451279508</v>
      </c>
      <c r="O44" s="2614">
        <v>240294669</v>
      </c>
      <c r="P44" s="2614">
        <v>28856229</v>
      </c>
      <c r="Q44" s="3136">
        <v>146607324</v>
      </c>
      <c r="R44" s="2230" t="s">
        <v>1154</v>
      </c>
      <c r="S44" s="2617" t="s">
        <v>66</v>
      </c>
      <c r="T44" s="2618">
        <v>1</v>
      </c>
      <c r="U44" s="2235">
        <v>40300</v>
      </c>
      <c r="V44" s="2237" t="s">
        <v>1155</v>
      </c>
      <c r="W44" s="2237" t="s">
        <v>2427</v>
      </c>
      <c r="X44" s="2243">
        <f t="shared" ca="1" si="5"/>
        <v>7.6333333333333337</v>
      </c>
      <c r="Y44" s="79">
        <v>32</v>
      </c>
    </row>
    <row r="45" spans="1:25" ht="14.1" customHeight="1" x14ac:dyDescent="0.2">
      <c r="A45" s="79"/>
      <c r="B45" s="50" t="s">
        <v>1685</v>
      </c>
      <c r="C45" s="4796" t="s">
        <v>2517</v>
      </c>
      <c r="D45" s="1272" t="s">
        <v>40</v>
      </c>
      <c r="E45" s="2028" t="s">
        <v>2130</v>
      </c>
      <c r="F45" s="60">
        <f t="shared" si="4"/>
        <v>111.24684025579296</v>
      </c>
      <c r="G45" s="1350">
        <f>21002+45579+42266+35845+41430+25257+38822+12316+63053</f>
        <v>325570</v>
      </c>
      <c r="H45" s="4040"/>
      <c r="I45" s="1730">
        <v>62299480</v>
      </c>
      <c r="J45" s="4508">
        <v>403261485</v>
      </c>
      <c r="K45" s="4508">
        <v>435695286</v>
      </c>
      <c r="L45" s="4508">
        <v>243036281</v>
      </c>
      <c r="M45" s="4508">
        <v>574632162</v>
      </c>
      <c r="N45" s="4508">
        <v>452179810</v>
      </c>
      <c r="O45" s="4508">
        <v>275908222</v>
      </c>
      <c r="P45" s="4508">
        <v>27167548</v>
      </c>
      <c r="Q45" s="4509">
        <v>140306736</v>
      </c>
      <c r="R45" s="2575" t="s">
        <v>1150</v>
      </c>
      <c r="S45" s="4516" t="s">
        <v>66</v>
      </c>
      <c r="T45" s="2625">
        <v>1</v>
      </c>
      <c r="U45" s="2579">
        <v>39318</v>
      </c>
      <c r="V45" s="2581" t="s">
        <v>1693</v>
      </c>
      <c r="W45" s="2581" t="s">
        <v>2425</v>
      </c>
      <c r="X45" s="85">
        <f t="shared" ca="1" si="5"/>
        <v>10.322222222222223</v>
      </c>
      <c r="Y45" s="79"/>
    </row>
    <row r="46" spans="1:25" ht="14.1" customHeight="1" x14ac:dyDescent="0.2">
      <c r="A46" s="79">
        <v>34</v>
      </c>
      <c r="B46" s="59" t="s">
        <v>1685</v>
      </c>
      <c r="C46" s="1215" t="s">
        <v>2006</v>
      </c>
      <c r="D46" s="1539" t="s">
        <v>40</v>
      </c>
      <c r="E46" s="2029" t="s">
        <v>2130</v>
      </c>
      <c r="F46" s="60">
        <f t="shared" ref="F46:F77" si="6">SUM(I46/I$11,J46/J$11,K46/K$11,L46/L$11,M46/M$11,N46/N$11,O46/O$11,P46/P$11,Q46/Q$11)/9*100</f>
        <v>111.5111918420701</v>
      </c>
      <c r="G46" s="1351">
        <f>25795+50688+47340+45666+54018+30703+48339+15718+78289</f>
        <v>396556</v>
      </c>
      <c r="H46" s="1344"/>
      <c r="I46" s="822">
        <v>62316446</v>
      </c>
      <c r="J46" s="2937">
        <v>403261472</v>
      </c>
      <c r="K46" s="2937">
        <v>436288061</v>
      </c>
      <c r="L46" s="2937">
        <v>244479374</v>
      </c>
      <c r="M46" s="2937">
        <v>574660490</v>
      </c>
      <c r="N46" s="2937">
        <v>457717478</v>
      </c>
      <c r="O46" s="2937">
        <v>275908234</v>
      </c>
      <c r="P46" s="2937">
        <v>27237667</v>
      </c>
      <c r="Q46" s="2937">
        <v>140306735</v>
      </c>
      <c r="R46" s="93" t="s">
        <v>1153</v>
      </c>
      <c r="S46" s="92" t="s">
        <v>66</v>
      </c>
      <c r="T46" s="94">
        <v>1</v>
      </c>
      <c r="U46" s="95">
        <v>39149</v>
      </c>
      <c r="V46" s="96" t="s">
        <v>1693</v>
      </c>
      <c r="W46" s="96" t="s">
        <v>2425</v>
      </c>
      <c r="X46" s="89">
        <f t="shared" ref="X46:X77" ca="1" si="7">YEARFRAC(U46,X$6)</f>
        <v>10.783333333333333</v>
      </c>
      <c r="Y46" s="79">
        <v>34</v>
      </c>
    </row>
    <row r="47" spans="1:25" ht="14.1" customHeight="1" x14ac:dyDescent="0.2">
      <c r="A47" s="79"/>
      <c r="B47" s="50" t="s">
        <v>1685</v>
      </c>
      <c r="C47" s="1263" t="s">
        <v>2007</v>
      </c>
      <c r="D47" s="1272" t="s">
        <v>40</v>
      </c>
      <c r="E47" s="2028" t="s">
        <v>2130</v>
      </c>
      <c r="F47" s="60">
        <f t="shared" si="6"/>
        <v>111.71956527061934</v>
      </c>
      <c r="G47" s="1680"/>
      <c r="H47" s="2159"/>
      <c r="I47" s="807">
        <v>63043670</v>
      </c>
      <c r="J47" s="4845">
        <v>404620289</v>
      </c>
      <c r="K47" s="4845">
        <v>436123208</v>
      </c>
      <c r="L47" s="4845">
        <v>242788507</v>
      </c>
      <c r="M47" s="4845">
        <v>574858911</v>
      </c>
      <c r="N47" s="4845">
        <v>450846557</v>
      </c>
      <c r="O47" s="4845">
        <v>271519585</v>
      </c>
      <c r="P47" s="4845">
        <v>27492950</v>
      </c>
      <c r="Q47" s="4851">
        <v>144555012</v>
      </c>
      <c r="R47" s="52" t="s">
        <v>1149</v>
      </c>
      <c r="S47" s="71" t="s">
        <v>66</v>
      </c>
      <c r="T47" s="54">
        <v>1</v>
      </c>
      <c r="U47" s="55">
        <v>39345</v>
      </c>
      <c r="V47" s="56" t="s">
        <v>1693</v>
      </c>
      <c r="W47" s="56" t="s">
        <v>2425</v>
      </c>
      <c r="X47" s="57">
        <f t="shared" ca="1" si="7"/>
        <v>10.25</v>
      </c>
      <c r="Y47" s="79"/>
    </row>
    <row r="48" spans="1:25" ht="14.1" customHeight="1" x14ac:dyDescent="0.2">
      <c r="A48" s="79">
        <v>36</v>
      </c>
      <c r="B48" s="4491" t="s">
        <v>1103</v>
      </c>
      <c r="C48" s="2950" t="s">
        <v>2580</v>
      </c>
      <c r="D48" s="1272"/>
      <c r="E48" s="2029" t="s">
        <v>2130</v>
      </c>
      <c r="F48" s="60">
        <f t="shared" si="6"/>
        <v>112.00486845036895</v>
      </c>
      <c r="G48" s="90">
        <f>8425.6+6946.8+19743.9+20146.7+17810.8+12583.1+8999.6+4837.3+22931.1</f>
        <v>122424.90000000002</v>
      </c>
      <c r="H48" s="2159"/>
      <c r="I48" s="815">
        <v>70395441</v>
      </c>
      <c r="J48" s="817">
        <v>346688346</v>
      </c>
      <c r="K48" s="817">
        <v>435929265</v>
      </c>
      <c r="L48" s="817">
        <v>244392126</v>
      </c>
      <c r="M48" s="817">
        <v>579051308</v>
      </c>
      <c r="N48" s="817">
        <v>448582587</v>
      </c>
      <c r="O48" s="817">
        <v>237705097</v>
      </c>
      <c r="P48" s="841">
        <v>30092099</v>
      </c>
      <c r="Q48" s="817">
        <v>154349619</v>
      </c>
      <c r="R48" s="52" t="s">
        <v>1999</v>
      </c>
      <c r="S48" s="2730" t="s">
        <v>62</v>
      </c>
      <c r="T48" s="54">
        <v>1</v>
      </c>
      <c r="U48" s="55">
        <v>42456</v>
      </c>
      <c r="V48" s="56" t="s">
        <v>2000</v>
      </c>
      <c r="W48" s="56" t="s">
        <v>2411</v>
      </c>
      <c r="X48" s="57">
        <f t="shared" ca="1" si="7"/>
        <v>1.7305555555555556</v>
      </c>
      <c r="Y48" s="79">
        <v>36</v>
      </c>
    </row>
    <row r="49" spans="1:25" ht="14.1" customHeight="1" x14ac:dyDescent="0.2">
      <c r="A49" s="79"/>
      <c r="B49" s="50" t="s">
        <v>1685</v>
      </c>
      <c r="C49" s="1779" t="s">
        <v>2008</v>
      </c>
      <c r="D49" s="1941" t="s">
        <v>40</v>
      </c>
      <c r="E49" s="2028" t="s">
        <v>2130</v>
      </c>
      <c r="F49" s="60">
        <f t="shared" si="6"/>
        <v>112.06239058310467</v>
      </c>
      <c r="G49" s="4498"/>
      <c r="H49" s="2624"/>
      <c r="I49" s="820">
        <v>62612742</v>
      </c>
      <c r="J49" s="1740">
        <v>402044556</v>
      </c>
      <c r="K49" s="1740">
        <v>435636716</v>
      </c>
      <c r="L49" s="1740">
        <v>246403635</v>
      </c>
      <c r="M49" s="1740">
        <v>574798063</v>
      </c>
      <c r="N49" s="1740">
        <v>457665552</v>
      </c>
      <c r="O49" s="1740">
        <v>275178228</v>
      </c>
      <c r="P49" s="1740">
        <v>27504431</v>
      </c>
      <c r="Q49" s="1740">
        <v>144653056</v>
      </c>
      <c r="R49" s="80" t="s">
        <v>1151</v>
      </c>
      <c r="S49" s="81" t="s">
        <v>66</v>
      </c>
      <c r="T49" s="82">
        <v>1</v>
      </c>
      <c r="U49" s="83">
        <v>39118</v>
      </c>
      <c r="V49" s="84" t="s">
        <v>1693</v>
      </c>
      <c r="W49" s="84" t="s">
        <v>2425</v>
      </c>
      <c r="X49" s="85">
        <f t="shared" ca="1" si="7"/>
        <v>10.875</v>
      </c>
      <c r="Y49" s="79"/>
    </row>
    <row r="50" spans="1:25" ht="14.1" customHeight="1" x14ac:dyDescent="0.2">
      <c r="A50" s="79">
        <v>38</v>
      </c>
      <c r="B50" s="59" t="s">
        <v>1685</v>
      </c>
      <c r="C50" s="4493" t="s">
        <v>2009</v>
      </c>
      <c r="D50" s="1539" t="s">
        <v>40</v>
      </c>
      <c r="E50" s="2029" t="s">
        <v>2130</v>
      </c>
      <c r="F50" s="60">
        <f t="shared" si="6"/>
        <v>112.24450209737941</v>
      </c>
      <c r="G50" s="4826"/>
      <c r="H50" s="2627"/>
      <c r="I50" s="822">
        <v>62736786</v>
      </c>
      <c r="J50" s="1741">
        <v>402842827</v>
      </c>
      <c r="K50" s="1741">
        <v>436385608</v>
      </c>
      <c r="L50" s="1741">
        <v>246960468</v>
      </c>
      <c r="M50" s="1741">
        <v>574996528</v>
      </c>
      <c r="N50" s="1741">
        <v>458408083</v>
      </c>
      <c r="O50" s="1741">
        <v>275670344</v>
      </c>
      <c r="P50" s="1741">
        <v>27553817</v>
      </c>
      <c r="Q50" s="1741">
        <v>144788225</v>
      </c>
      <c r="R50" s="93" t="s">
        <v>1152</v>
      </c>
      <c r="S50" s="92" t="s">
        <v>66</v>
      </c>
      <c r="T50" s="94">
        <v>1</v>
      </c>
      <c r="U50" s="95">
        <v>39048</v>
      </c>
      <c r="V50" s="96" t="s">
        <v>1693</v>
      </c>
      <c r="W50" s="96" t="s">
        <v>2425</v>
      </c>
      <c r="X50" s="89">
        <f t="shared" ca="1" si="7"/>
        <v>11.063888888888888</v>
      </c>
      <c r="Y50" s="79">
        <v>38</v>
      </c>
    </row>
    <row r="51" spans="1:25" ht="14.1" customHeight="1" x14ac:dyDescent="0.2">
      <c r="A51" s="79"/>
      <c r="B51" s="50" t="s">
        <v>1685</v>
      </c>
      <c r="C51" s="4495" t="s">
        <v>2010</v>
      </c>
      <c r="D51" s="1272" t="s">
        <v>40</v>
      </c>
      <c r="E51" s="2028" t="s">
        <v>2130</v>
      </c>
      <c r="F51" s="60">
        <f t="shared" si="6"/>
        <v>112.33097665864773</v>
      </c>
      <c r="G51" s="72">
        <f>13826+27038+25186+23114+25270+17831+24831+7297+39051</f>
        <v>203444</v>
      </c>
      <c r="H51" s="2936"/>
      <c r="I51" s="3145">
        <v>63957158</v>
      </c>
      <c r="J51" s="3145">
        <v>407213436</v>
      </c>
      <c r="K51" s="817">
        <v>438444668</v>
      </c>
      <c r="L51" s="817">
        <v>241176906</v>
      </c>
      <c r="M51" s="817">
        <v>575627702</v>
      </c>
      <c r="N51" s="817">
        <v>451248511</v>
      </c>
      <c r="O51" s="817">
        <v>278587279</v>
      </c>
      <c r="P51" s="817">
        <v>27945309</v>
      </c>
      <c r="Q51" s="817">
        <v>141767054</v>
      </c>
      <c r="R51" s="52" t="s">
        <v>1156</v>
      </c>
      <c r="S51" s="71" t="s">
        <v>66</v>
      </c>
      <c r="T51" s="54">
        <v>1</v>
      </c>
      <c r="U51" s="55">
        <v>39352</v>
      </c>
      <c r="V51" s="56" t="s">
        <v>1693</v>
      </c>
      <c r="W51" s="56" t="s">
        <v>2425</v>
      </c>
      <c r="X51" s="57">
        <f t="shared" ca="1" si="7"/>
        <v>10.230555555555556</v>
      </c>
      <c r="Y51" s="79"/>
    </row>
    <row r="52" spans="1:25" ht="14.1" customHeight="1" x14ac:dyDescent="0.2">
      <c r="A52" s="79">
        <v>40</v>
      </c>
      <c r="B52" s="50" t="s">
        <v>1685</v>
      </c>
      <c r="C52" s="1213" t="s">
        <v>2418</v>
      </c>
      <c r="D52" s="1272" t="s">
        <v>40</v>
      </c>
      <c r="E52" s="2029" t="s">
        <v>2130</v>
      </c>
      <c r="F52" s="60">
        <f t="shared" si="6"/>
        <v>112.45134446093121</v>
      </c>
      <c r="G52" s="72">
        <f>2117.9+2539+5881.6+3914.6+7091.2+4008.6+6114.9+1248.9+10329.4</f>
        <v>43246.1</v>
      </c>
      <c r="H52" s="2936"/>
      <c r="I52" s="815">
        <v>71186641</v>
      </c>
      <c r="J52" s="817">
        <v>363209843</v>
      </c>
      <c r="K52" s="817">
        <v>447792588</v>
      </c>
      <c r="L52" s="817">
        <v>242503501</v>
      </c>
      <c r="M52" s="817">
        <v>576885340</v>
      </c>
      <c r="N52" s="817">
        <v>451487842</v>
      </c>
      <c r="O52" s="817">
        <v>237700388</v>
      </c>
      <c r="P52" s="817">
        <v>29886866</v>
      </c>
      <c r="Q52" s="817">
        <v>148985774</v>
      </c>
      <c r="R52" s="52" t="s">
        <v>1692</v>
      </c>
      <c r="S52" s="53" t="s">
        <v>66</v>
      </c>
      <c r="T52" s="3280">
        <v>2</v>
      </c>
      <c r="U52" s="55">
        <v>41899</v>
      </c>
      <c r="V52" s="56" t="s">
        <v>1693</v>
      </c>
      <c r="W52" s="56" t="s">
        <v>2422</v>
      </c>
      <c r="X52" s="57">
        <f t="shared" ca="1" si="7"/>
        <v>3.2583333333333333</v>
      </c>
      <c r="Y52" s="79">
        <v>40</v>
      </c>
    </row>
    <row r="53" spans="1:25" ht="14.1" customHeight="1" x14ac:dyDescent="0.2">
      <c r="A53" s="79"/>
      <c r="B53" s="68" t="s">
        <v>1685</v>
      </c>
      <c r="C53" s="4795" t="s">
        <v>2011</v>
      </c>
      <c r="D53" s="1941" t="s">
        <v>40</v>
      </c>
      <c r="E53" s="2028" t="s">
        <v>2130</v>
      </c>
      <c r="F53" s="60">
        <f t="shared" si="6"/>
        <v>113.08456464936984</v>
      </c>
      <c r="G53" s="2549">
        <f>15109+31844+29172+25144+30929+19927+26317+8771+46300</f>
        <v>233513</v>
      </c>
      <c r="H53" s="2624"/>
      <c r="I53" s="819">
        <v>68144418</v>
      </c>
      <c r="J53" s="820">
        <v>403819181</v>
      </c>
      <c r="K53" s="820">
        <v>437804694</v>
      </c>
      <c r="L53" s="820">
        <v>244417331</v>
      </c>
      <c r="M53" s="820">
        <v>575527152</v>
      </c>
      <c r="N53" s="820">
        <v>458372544</v>
      </c>
      <c r="O53" s="820">
        <v>271492745</v>
      </c>
      <c r="P53" s="820">
        <v>27863659</v>
      </c>
      <c r="Q53" s="820">
        <v>140796719</v>
      </c>
      <c r="R53" s="80" t="s">
        <v>1157</v>
      </c>
      <c r="S53" s="81" t="s">
        <v>66</v>
      </c>
      <c r="T53" s="82">
        <v>1</v>
      </c>
      <c r="U53" s="83">
        <v>38947</v>
      </c>
      <c r="V53" s="84" t="s">
        <v>1693</v>
      </c>
      <c r="W53" s="84" t="s">
        <v>2425</v>
      </c>
      <c r="X53" s="85">
        <f t="shared" ca="1" si="7"/>
        <v>11.338888888888889</v>
      </c>
      <c r="Y53" s="79"/>
    </row>
    <row r="54" spans="1:25" ht="14.1" customHeight="1" x14ac:dyDescent="0.2">
      <c r="A54" s="79">
        <v>42</v>
      </c>
      <c r="B54" s="50" t="s">
        <v>1685</v>
      </c>
      <c r="C54" s="1213" t="s">
        <v>2419</v>
      </c>
      <c r="D54" s="1272" t="s">
        <v>40</v>
      </c>
      <c r="E54" s="2029" t="s">
        <v>2130</v>
      </c>
      <c r="F54" s="60">
        <f t="shared" si="6"/>
        <v>114.29672544004525</v>
      </c>
      <c r="G54" s="72">
        <f>32116+21882+60859+41286+66507+51166+59591+16992+95801</f>
        <v>446200</v>
      </c>
      <c r="H54" s="2613"/>
      <c r="I54" s="840">
        <v>62534321</v>
      </c>
      <c r="J54" s="780">
        <v>397042522</v>
      </c>
      <c r="K54" s="780">
        <v>434682843</v>
      </c>
      <c r="L54" s="780">
        <v>251309626</v>
      </c>
      <c r="M54" s="780">
        <v>575411298</v>
      </c>
      <c r="N54" s="780">
        <v>555745706</v>
      </c>
      <c r="O54" s="1065">
        <v>275437298</v>
      </c>
      <c r="P54" s="780">
        <v>27802579</v>
      </c>
      <c r="Q54" s="780">
        <v>138883346</v>
      </c>
      <c r="R54" s="73" t="s">
        <v>1593</v>
      </c>
      <c r="S54" s="4839" t="s">
        <v>66</v>
      </c>
      <c r="T54" s="75">
        <v>1</v>
      </c>
      <c r="U54" s="76">
        <v>41848</v>
      </c>
      <c r="V54" s="77" t="s">
        <v>1693</v>
      </c>
      <c r="W54" s="77" t="s">
        <v>2424</v>
      </c>
      <c r="X54" s="78">
        <f t="shared" ca="1" si="7"/>
        <v>3.3944444444444444</v>
      </c>
      <c r="Y54" s="79">
        <v>42</v>
      </c>
    </row>
    <row r="55" spans="1:25" ht="14.1" customHeight="1" x14ac:dyDescent="0.2">
      <c r="A55" s="79"/>
      <c r="B55" s="2589" t="s">
        <v>1685</v>
      </c>
      <c r="C55" s="3129" t="s">
        <v>2518</v>
      </c>
      <c r="D55" s="1941" t="s">
        <v>40</v>
      </c>
      <c r="E55" s="2028" t="s">
        <v>2130</v>
      </c>
      <c r="F55" s="60">
        <f t="shared" si="6"/>
        <v>114.47172840392798</v>
      </c>
      <c r="G55" s="2549">
        <f>9800+21491+20954+18853+22373+14564+20008+6389+32943</f>
        <v>167375</v>
      </c>
      <c r="H55" s="2623"/>
      <c r="I55" s="882">
        <v>69937141</v>
      </c>
      <c r="J55" s="883">
        <v>407304190</v>
      </c>
      <c r="K55" s="883">
        <v>439483700</v>
      </c>
      <c r="L55" s="883">
        <v>245411357</v>
      </c>
      <c r="M55" s="883">
        <v>575776561</v>
      </c>
      <c r="N55" s="883">
        <v>458557527</v>
      </c>
      <c r="O55" s="883">
        <v>278932740</v>
      </c>
      <c r="P55" s="883">
        <v>28300005</v>
      </c>
      <c r="Q55" s="883">
        <v>143183755</v>
      </c>
      <c r="R55" s="2574" t="s">
        <v>1151</v>
      </c>
      <c r="S55" s="2576" t="s">
        <v>66</v>
      </c>
      <c r="T55" s="2577">
        <v>1</v>
      </c>
      <c r="U55" s="2578">
        <v>38763</v>
      </c>
      <c r="V55" s="2580" t="s">
        <v>1693</v>
      </c>
      <c r="W55" s="2580" t="s">
        <v>2425</v>
      </c>
      <c r="X55" s="2584">
        <f t="shared" ca="1" si="7"/>
        <v>11.847222222222221</v>
      </c>
      <c r="Y55" s="79"/>
    </row>
    <row r="56" spans="1:25" ht="14.1" customHeight="1" x14ac:dyDescent="0.2">
      <c r="A56" s="79">
        <v>44</v>
      </c>
      <c r="B56" s="59" t="s">
        <v>1685</v>
      </c>
      <c r="C56" s="1215" t="s">
        <v>1867</v>
      </c>
      <c r="D56" s="1539" t="s">
        <v>40</v>
      </c>
      <c r="E56" s="2029" t="s">
        <v>2130</v>
      </c>
      <c r="F56" s="60">
        <f t="shared" si="6"/>
        <v>116.47552256808218</v>
      </c>
      <c r="G56" s="1351">
        <f>6688.9+11738.3+10501.4+11434.4+11325.3+11061.3+11925.5+3452.6+14979.9</f>
        <v>93107.6</v>
      </c>
      <c r="H56" s="3724"/>
      <c r="I56" s="822">
        <v>68036036</v>
      </c>
      <c r="J56" s="886">
        <v>405952885</v>
      </c>
      <c r="K56" s="886">
        <v>441841350</v>
      </c>
      <c r="L56" s="886">
        <v>276156409</v>
      </c>
      <c r="M56" s="886">
        <v>573381718</v>
      </c>
      <c r="N56" s="886">
        <v>479445125</v>
      </c>
      <c r="O56" s="886">
        <v>277745177</v>
      </c>
      <c r="P56" s="886">
        <v>28893593</v>
      </c>
      <c r="Q56" s="886">
        <v>146036359</v>
      </c>
      <c r="R56" s="4861" t="s">
        <v>1161</v>
      </c>
      <c r="S56" s="4513" t="s">
        <v>66</v>
      </c>
      <c r="T56" s="1357">
        <v>1</v>
      </c>
      <c r="U56" s="4898">
        <v>42276</v>
      </c>
      <c r="V56" s="4910" t="s">
        <v>1868</v>
      </c>
      <c r="W56" s="4910" t="s">
        <v>2019</v>
      </c>
      <c r="X56" s="4923">
        <f t="shared" ca="1" si="7"/>
        <v>2.2250000000000001</v>
      </c>
      <c r="Y56" s="79">
        <v>44</v>
      </c>
    </row>
    <row r="57" spans="1:25" ht="14.1" customHeight="1" x14ac:dyDescent="0.25">
      <c r="A57" s="79"/>
      <c r="B57" s="50" t="s">
        <v>1685</v>
      </c>
      <c r="C57" s="1245" t="s">
        <v>2791</v>
      </c>
      <c r="D57" s="1418"/>
      <c r="E57" s="2028" t="s">
        <v>2130</v>
      </c>
      <c r="F57" s="60">
        <f t="shared" si="6"/>
        <v>116.55079816258178</v>
      </c>
      <c r="G57" s="832">
        <f>35880.2+66661.3+63423.2+73956.6+65477.5+51590.2+87005.8+21517.9+129055.3</f>
        <v>594568.00000000012</v>
      </c>
      <c r="H57" s="1345"/>
      <c r="I57" s="836">
        <v>68091205</v>
      </c>
      <c r="J57" s="837">
        <v>409086832</v>
      </c>
      <c r="K57" s="837">
        <v>441663512</v>
      </c>
      <c r="L57" s="837">
        <v>277237196</v>
      </c>
      <c r="M57" s="837">
        <v>576671108</v>
      </c>
      <c r="N57" s="837">
        <v>478287602</v>
      </c>
      <c r="O57" s="780">
        <v>276651484</v>
      </c>
      <c r="P57" s="837">
        <v>28652213</v>
      </c>
      <c r="Q57" s="837">
        <v>146439895</v>
      </c>
      <c r="R57" s="73" t="s">
        <v>2354</v>
      </c>
      <c r="S57" s="2762" t="s">
        <v>62</v>
      </c>
      <c r="T57" s="75">
        <v>1</v>
      </c>
      <c r="U57" s="76">
        <v>43022</v>
      </c>
      <c r="V57" s="77" t="s">
        <v>98</v>
      </c>
      <c r="W57" s="77" t="s">
        <v>2022</v>
      </c>
      <c r="X57" s="78">
        <f t="shared" ca="1" si="7"/>
        <v>0.18333333333333332</v>
      </c>
      <c r="Y57" s="79"/>
    </row>
    <row r="58" spans="1:25" ht="14.1" customHeight="1" x14ac:dyDescent="0.2">
      <c r="A58" s="79">
        <v>46</v>
      </c>
      <c r="B58" s="4686" t="s">
        <v>1685</v>
      </c>
      <c r="C58" s="2155" t="s">
        <v>2353</v>
      </c>
      <c r="D58" s="1272"/>
      <c r="E58" s="4812" t="s">
        <v>2130</v>
      </c>
      <c r="F58" s="60">
        <f t="shared" si="6"/>
        <v>116.9337317410191</v>
      </c>
      <c r="G58" s="72">
        <f>32871.07+64435.42+57278.41+66134.29+63856.45+52899.56+60732.79+16656.38+93584.65</f>
        <v>508449.02</v>
      </c>
      <c r="H58" s="4839"/>
      <c r="I58" s="780">
        <v>68363745</v>
      </c>
      <c r="J58" s="780">
        <v>411011236</v>
      </c>
      <c r="K58" s="780">
        <v>443022326</v>
      </c>
      <c r="L58" s="780">
        <v>275993669</v>
      </c>
      <c r="M58" s="4696">
        <v>575350894</v>
      </c>
      <c r="N58" s="4696">
        <v>478365091</v>
      </c>
      <c r="O58" s="780">
        <v>278268576</v>
      </c>
      <c r="P58" s="780">
        <v>28778614</v>
      </c>
      <c r="Q58" s="780">
        <v>148505540</v>
      </c>
      <c r="R58" s="2616" t="s">
        <v>2354</v>
      </c>
      <c r="S58" s="4874" t="s">
        <v>62</v>
      </c>
      <c r="T58" s="2618">
        <v>1</v>
      </c>
      <c r="U58" s="2235">
        <v>42379</v>
      </c>
      <c r="V58" s="2237" t="s">
        <v>98</v>
      </c>
      <c r="W58" s="4707" t="s">
        <v>2022</v>
      </c>
      <c r="X58" s="78">
        <f t="shared" ca="1" si="7"/>
        <v>1.9444444444444444</v>
      </c>
      <c r="Y58" s="79">
        <v>46</v>
      </c>
    </row>
    <row r="59" spans="1:25" ht="14.1" customHeight="1" x14ac:dyDescent="0.2">
      <c r="A59" s="79"/>
      <c r="B59" s="2589" t="s">
        <v>1685</v>
      </c>
      <c r="C59" s="4689" t="s">
        <v>1830</v>
      </c>
      <c r="D59" s="1941"/>
      <c r="E59" s="2028" t="s">
        <v>2130</v>
      </c>
      <c r="F59" s="60">
        <f t="shared" si="6"/>
        <v>116.94871012459144</v>
      </c>
      <c r="G59" s="2549">
        <f>4777+9925.4+9451.5+10466+10954.5+8634.1+9066.4+2645+13104.3</f>
        <v>79024.2</v>
      </c>
      <c r="H59" s="2623"/>
      <c r="I59" s="883">
        <v>68768127</v>
      </c>
      <c r="J59" s="883">
        <v>406260214</v>
      </c>
      <c r="K59" s="883">
        <v>442051959</v>
      </c>
      <c r="L59" s="883">
        <v>276737882</v>
      </c>
      <c r="M59" s="883">
        <v>573620362</v>
      </c>
      <c r="N59" s="883">
        <v>479439768</v>
      </c>
      <c r="O59" s="883">
        <v>279839839</v>
      </c>
      <c r="P59" s="883">
        <v>29011576</v>
      </c>
      <c r="Q59" s="883">
        <v>147220175</v>
      </c>
      <c r="R59" s="2574" t="s">
        <v>1161</v>
      </c>
      <c r="S59" s="3134" t="s">
        <v>66</v>
      </c>
      <c r="T59" s="2577">
        <v>1</v>
      </c>
      <c r="U59" s="2578">
        <v>42141</v>
      </c>
      <c r="V59" s="2580" t="s">
        <v>1868</v>
      </c>
      <c r="W59" s="2580" t="s">
        <v>2019</v>
      </c>
      <c r="X59" s="2584">
        <f t="shared" ca="1" si="7"/>
        <v>2.5916666666666668</v>
      </c>
      <c r="Y59" s="79"/>
    </row>
    <row r="60" spans="1:25" ht="14.1" customHeight="1" x14ac:dyDescent="0.2">
      <c r="A60" s="79">
        <v>48</v>
      </c>
      <c r="B60" s="1415" t="s">
        <v>1103</v>
      </c>
      <c r="C60" s="4794" t="s">
        <v>2581</v>
      </c>
      <c r="D60" s="1539"/>
      <c r="E60" s="2027" t="s">
        <v>2130</v>
      </c>
      <c r="F60" s="60">
        <f t="shared" si="6"/>
        <v>117.95974720785682</v>
      </c>
      <c r="G60" s="2586">
        <f>2999.8+5885.8+6182.4+6491.2+5621+5473.2+5100+1646.6+7936.5</f>
        <v>47336.5</v>
      </c>
      <c r="H60" s="4836"/>
      <c r="I60" s="886">
        <v>77772407</v>
      </c>
      <c r="J60" s="886">
        <v>347367401</v>
      </c>
      <c r="K60" s="895">
        <v>463992042</v>
      </c>
      <c r="L60" s="895">
        <v>255930545</v>
      </c>
      <c r="M60" s="895">
        <v>582145258</v>
      </c>
      <c r="N60" s="895">
        <v>454488040</v>
      </c>
      <c r="O60" s="886">
        <v>245420798</v>
      </c>
      <c r="P60" s="886">
        <v>33264465</v>
      </c>
      <c r="Q60" s="886">
        <v>165187546</v>
      </c>
      <c r="R60" s="86" t="s">
        <v>1999</v>
      </c>
      <c r="S60" s="3281" t="s">
        <v>62</v>
      </c>
      <c r="T60" s="1357">
        <v>1</v>
      </c>
      <c r="U60" s="87">
        <v>42456</v>
      </c>
      <c r="V60" s="88" t="s">
        <v>2000</v>
      </c>
      <c r="W60" s="4918" t="s">
        <v>2411</v>
      </c>
      <c r="X60" s="89">
        <f t="shared" ca="1" si="7"/>
        <v>1.7305555555555556</v>
      </c>
      <c r="Y60" s="79">
        <v>48</v>
      </c>
    </row>
    <row r="61" spans="1:25" ht="14.1" customHeight="1" x14ac:dyDescent="0.2">
      <c r="A61" s="79"/>
      <c r="B61" s="50" t="s">
        <v>1685</v>
      </c>
      <c r="C61" s="4793" t="s">
        <v>2012</v>
      </c>
      <c r="D61" s="1272" t="s">
        <v>40</v>
      </c>
      <c r="E61" s="2028" t="s">
        <v>2130</v>
      </c>
      <c r="F61" s="60">
        <f t="shared" si="6"/>
        <v>118.09035314446885</v>
      </c>
      <c r="G61" s="4641"/>
      <c r="H61" s="4838"/>
      <c r="I61" s="840">
        <v>71954556</v>
      </c>
      <c r="J61" s="837">
        <v>446866620</v>
      </c>
      <c r="K61" s="780">
        <v>450629632</v>
      </c>
      <c r="L61" s="780">
        <v>268150535</v>
      </c>
      <c r="M61" s="780">
        <v>576716161</v>
      </c>
      <c r="N61" s="780">
        <v>481241139</v>
      </c>
      <c r="O61" s="780">
        <v>280875445</v>
      </c>
      <c r="P61" s="780">
        <v>27646740</v>
      </c>
      <c r="Q61" s="780">
        <v>143518703</v>
      </c>
      <c r="R61" s="73" t="s">
        <v>1158</v>
      </c>
      <c r="S61" s="74" t="s">
        <v>66</v>
      </c>
      <c r="T61" s="75">
        <v>1</v>
      </c>
      <c r="U61" s="76">
        <v>39222</v>
      </c>
      <c r="V61" s="77" t="s">
        <v>1693</v>
      </c>
      <c r="W61" s="77" t="s">
        <v>2425</v>
      </c>
      <c r="X61" s="78">
        <f t="shared" ca="1" si="7"/>
        <v>10.583333333333334</v>
      </c>
      <c r="Y61" s="79"/>
    </row>
    <row r="62" spans="1:25" ht="14.1" customHeight="1" x14ac:dyDescent="0.2">
      <c r="A62" s="79">
        <v>50</v>
      </c>
      <c r="B62" s="50" t="s">
        <v>1685</v>
      </c>
      <c r="C62" s="1213" t="s">
        <v>1256</v>
      </c>
      <c r="D62" s="1272" t="s">
        <v>40</v>
      </c>
      <c r="E62" s="2029" t="s">
        <v>2130</v>
      </c>
      <c r="F62" s="60">
        <f t="shared" si="6"/>
        <v>118.12186202872985</v>
      </c>
      <c r="G62" s="4641"/>
      <c r="H62" s="2587"/>
      <c r="I62" s="837">
        <v>70448247</v>
      </c>
      <c r="J62" s="837">
        <v>410709955</v>
      </c>
      <c r="K62" s="837">
        <v>449528064</v>
      </c>
      <c r="L62" s="837">
        <v>278798948</v>
      </c>
      <c r="M62" s="837">
        <v>576035183</v>
      </c>
      <c r="N62" s="837">
        <v>480418661</v>
      </c>
      <c r="O62" s="780">
        <v>284282845</v>
      </c>
      <c r="P62" s="837">
        <v>28874108</v>
      </c>
      <c r="Q62" s="837">
        <v>148378062</v>
      </c>
      <c r="R62" s="73" t="s">
        <v>1159</v>
      </c>
      <c r="S62" s="74" t="s">
        <v>66</v>
      </c>
      <c r="T62" s="75">
        <v>1</v>
      </c>
      <c r="U62" s="76">
        <v>38721</v>
      </c>
      <c r="V62" s="77" t="s">
        <v>1693</v>
      </c>
      <c r="W62" s="77" t="s">
        <v>2019</v>
      </c>
      <c r="X62" s="78">
        <f t="shared" ca="1" si="7"/>
        <v>11.96111111111111</v>
      </c>
      <c r="Y62" s="79">
        <v>50</v>
      </c>
    </row>
    <row r="63" spans="1:25" ht="14.1" customHeight="1" x14ac:dyDescent="0.2">
      <c r="A63" s="79"/>
      <c r="B63" s="2589" t="s">
        <v>1685</v>
      </c>
      <c r="C63" s="3129" t="s">
        <v>1253</v>
      </c>
      <c r="D63" s="1941" t="s">
        <v>40</v>
      </c>
      <c r="E63" s="2028" t="s">
        <v>2130</v>
      </c>
      <c r="F63" s="60">
        <f t="shared" si="6"/>
        <v>118.1832104728003</v>
      </c>
      <c r="G63" s="2549">
        <f>36665+79863+75540+81553+79445+64690+71746+22558+114537</f>
        <v>626597</v>
      </c>
      <c r="H63" s="4695"/>
      <c r="I63" s="976">
        <v>70401178</v>
      </c>
      <c r="J63" s="913">
        <v>411581920</v>
      </c>
      <c r="K63" s="913">
        <v>452121100</v>
      </c>
      <c r="L63" s="913">
        <v>277749421</v>
      </c>
      <c r="M63" s="883">
        <v>576046376</v>
      </c>
      <c r="N63" s="883">
        <v>480426403</v>
      </c>
      <c r="O63" s="883">
        <v>283283100</v>
      </c>
      <c r="P63" s="883">
        <v>28919559</v>
      </c>
      <c r="Q63" s="883">
        <v>149021109</v>
      </c>
      <c r="R63" s="2574" t="s">
        <v>1160</v>
      </c>
      <c r="S63" s="2576" t="s">
        <v>66</v>
      </c>
      <c r="T63" s="2577">
        <v>1</v>
      </c>
      <c r="U63" s="2578">
        <v>38061</v>
      </c>
      <c r="V63" s="2580" t="s">
        <v>1693</v>
      </c>
      <c r="W63" s="2580" t="s">
        <v>2019</v>
      </c>
      <c r="X63" s="2584">
        <f t="shared" ca="1" si="7"/>
        <v>13.763888888888889</v>
      </c>
      <c r="Y63" s="79"/>
    </row>
    <row r="64" spans="1:25" ht="14.1" customHeight="1" x14ac:dyDescent="0.2">
      <c r="A64" s="79">
        <v>52</v>
      </c>
      <c r="B64" s="69" t="s">
        <v>1685</v>
      </c>
      <c r="C64" s="4792" t="s">
        <v>1227</v>
      </c>
      <c r="D64" s="1943" t="s">
        <v>40</v>
      </c>
      <c r="E64" s="2029" t="s">
        <v>2130</v>
      </c>
      <c r="F64" s="130">
        <f t="shared" si="6"/>
        <v>118.70758643988853</v>
      </c>
      <c r="G64" s="4514">
        <f>4658+9325+8756+9887+9118+7008+7496+2399+12207</f>
        <v>70854</v>
      </c>
      <c r="H64" s="4837"/>
      <c r="I64" s="1495">
        <v>70880467</v>
      </c>
      <c r="J64" s="1495">
        <v>433637718</v>
      </c>
      <c r="K64" s="1495">
        <v>444275700</v>
      </c>
      <c r="L64" s="1495">
        <v>275955712</v>
      </c>
      <c r="M64" s="1495">
        <v>575906283</v>
      </c>
      <c r="N64" s="1495">
        <v>479797389</v>
      </c>
      <c r="O64" s="1495">
        <v>283734030</v>
      </c>
      <c r="P64" s="1495">
        <v>29000759</v>
      </c>
      <c r="Q64" s="1495">
        <v>148614094</v>
      </c>
      <c r="R64" s="63" t="s">
        <v>1228</v>
      </c>
      <c r="S64" s="4512" t="s">
        <v>66</v>
      </c>
      <c r="T64" s="64">
        <v>1</v>
      </c>
      <c r="U64" s="65">
        <v>41442</v>
      </c>
      <c r="V64" s="66" t="s">
        <v>1155</v>
      </c>
      <c r="W64" s="66" t="s">
        <v>246</v>
      </c>
      <c r="X64" s="67">
        <f t="shared" ca="1" si="7"/>
        <v>4.5083333333333337</v>
      </c>
      <c r="Y64" s="79">
        <v>52</v>
      </c>
    </row>
    <row r="65" spans="1:25" ht="14.1" customHeight="1" x14ac:dyDescent="0.2">
      <c r="A65" s="79"/>
      <c r="B65" s="3933" t="s">
        <v>1103</v>
      </c>
      <c r="C65" s="4791" t="s">
        <v>2582</v>
      </c>
      <c r="D65" s="2033"/>
      <c r="E65" s="2026" t="s">
        <v>2130</v>
      </c>
      <c r="F65" s="130">
        <f t="shared" si="6"/>
        <v>120.05732923343939</v>
      </c>
      <c r="G65" s="72">
        <f>3784.9+5269.7+3541.5+5383.7+3713.2+3897.5+4781.1+1133.8+5562.8</f>
        <v>37068.199999999997</v>
      </c>
      <c r="H65" s="2613"/>
      <c r="I65" s="2189">
        <v>81436083</v>
      </c>
      <c r="J65" s="1071">
        <v>347585027</v>
      </c>
      <c r="K65" s="2527">
        <v>465343455</v>
      </c>
      <c r="L65" s="2527">
        <v>257490021</v>
      </c>
      <c r="M65" s="2527">
        <v>585328855</v>
      </c>
      <c r="N65" s="2527">
        <v>454660648</v>
      </c>
      <c r="O65" s="1071">
        <v>249354933</v>
      </c>
      <c r="P65" s="1071">
        <v>33779187</v>
      </c>
      <c r="Q65" s="2527">
        <v>172710464</v>
      </c>
      <c r="R65" s="4698" t="s">
        <v>1999</v>
      </c>
      <c r="S65" s="4700" t="s">
        <v>66</v>
      </c>
      <c r="T65" s="4702">
        <v>1</v>
      </c>
      <c r="U65" s="4704">
        <v>42435</v>
      </c>
      <c r="V65" s="4706" t="s">
        <v>2000</v>
      </c>
      <c r="W65" s="4917" t="s">
        <v>2411</v>
      </c>
      <c r="X65" s="78">
        <f t="shared" ca="1" si="7"/>
        <v>1.788888888888889</v>
      </c>
      <c r="Y65" s="79"/>
    </row>
    <row r="66" spans="1:25" ht="14.1" customHeight="1" x14ac:dyDescent="0.2">
      <c r="A66" s="79">
        <v>54</v>
      </c>
      <c r="B66" s="59" t="s">
        <v>1685</v>
      </c>
      <c r="C66" s="1215" t="s">
        <v>1254</v>
      </c>
      <c r="D66" s="1539" t="s">
        <v>40</v>
      </c>
      <c r="E66" s="2029" t="s">
        <v>2130</v>
      </c>
      <c r="F66" s="130">
        <f t="shared" si="6"/>
        <v>120.04357273511314</v>
      </c>
      <c r="G66" s="4826"/>
      <c r="H66" s="4836"/>
      <c r="I66" s="886">
        <v>72741449</v>
      </c>
      <c r="J66" s="886">
        <v>407167781</v>
      </c>
      <c r="K66" s="886">
        <v>443579509</v>
      </c>
      <c r="L66" s="886">
        <v>281611622</v>
      </c>
      <c r="M66" s="886">
        <v>578782896</v>
      </c>
      <c r="N66" s="886">
        <v>479633961</v>
      </c>
      <c r="O66" s="886">
        <v>280699876</v>
      </c>
      <c r="P66" s="886">
        <v>30329377</v>
      </c>
      <c r="Q66" s="886">
        <v>160722431</v>
      </c>
      <c r="R66" s="86" t="s">
        <v>1161</v>
      </c>
      <c r="S66" s="1356" t="s">
        <v>66</v>
      </c>
      <c r="T66" s="1357">
        <v>1</v>
      </c>
      <c r="U66" s="87">
        <v>39070</v>
      </c>
      <c r="V66" s="88" t="s">
        <v>74</v>
      </c>
      <c r="W66" s="88" t="s">
        <v>2019</v>
      </c>
      <c r="X66" s="89">
        <f t="shared" ca="1" si="7"/>
        <v>11.002777777777778</v>
      </c>
      <c r="Y66" s="79">
        <v>54</v>
      </c>
    </row>
    <row r="67" spans="1:25" ht="14.1" customHeight="1" x14ac:dyDescent="0.2">
      <c r="A67" s="79"/>
      <c r="B67" s="798" t="s">
        <v>1103</v>
      </c>
      <c r="C67" s="4790" t="s">
        <v>2583</v>
      </c>
      <c r="D67" s="4803"/>
      <c r="E67" s="2026" t="s">
        <v>2130</v>
      </c>
      <c r="F67" s="130">
        <f t="shared" si="6"/>
        <v>122.32862843715371</v>
      </c>
      <c r="G67" s="4825">
        <f>3675.9+5717+3326.2+4364+4795.2+3349.9+3392.8+986.5+6405</f>
        <v>36012.5</v>
      </c>
      <c r="H67" s="4835"/>
      <c r="I67" s="836">
        <v>73665504</v>
      </c>
      <c r="J67" s="837">
        <v>347585027</v>
      </c>
      <c r="K67" s="837">
        <v>467804643</v>
      </c>
      <c r="L67" s="837">
        <v>262511829</v>
      </c>
      <c r="M67" s="837">
        <v>584976130</v>
      </c>
      <c r="N67" s="837">
        <v>455037171</v>
      </c>
      <c r="O67" s="780">
        <v>303558530</v>
      </c>
      <c r="P67" s="780">
        <v>35276973</v>
      </c>
      <c r="Q67" s="837">
        <v>179349452</v>
      </c>
      <c r="R67" s="4860" t="s">
        <v>1999</v>
      </c>
      <c r="S67" s="4873" t="s">
        <v>66</v>
      </c>
      <c r="T67" s="4885">
        <v>1</v>
      </c>
      <c r="U67" s="4897">
        <v>42428</v>
      </c>
      <c r="V67" s="4909" t="s">
        <v>2000</v>
      </c>
      <c r="W67" s="4909" t="s">
        <v>2411</v>
      </c>
      <c r="X67" s="4922">
        <f t="shared" ca="1" si="7"/>
        <v>1.8111111111111111</v>
      </c>
      <c r="Y67" s="79"/>
    </row>
    <row r="68" spans="1:25" ht="14.1" customHeight="1" x14ac:dyDescent="0.25">
      <c r="A68" s="79">
        <v>56</v>
      </c>
      <c r="B68" s="4782" t="s">
        <v>1685</v>
      </c>
      <c r="C68" s="3562" t="s">
        <v>1257</v>
      </c>
      <c r="D68" s="4690"/>
      <c r="E68" s="4811" t="s">
        <v>2130</v>
      </c>
      <c r="F68" s="130">
        <f t="shared" si="6"/>
        <v>122.53200719753212</v>
      </c>
      <c r="G68" s="4694"/>
      <c r="H68" s="4694"/>
      <c r="I68" s="837">
        <v>68240462</v>
      </c>
      <c r="J68" s="837">
        <v>487228399</v>
      </c>
      <c r="K68" s="837">
        <v>464496160</v>
      </c>
      <c r="L68" s="837">
        <v>278696078</v>
      </c>
      <c r="M68" s="837">
        <v>577622910</v>
      </c>
      <c r="N68" s="837">
        <v>481389138</v>
      </c>
      <c r="O68" s="780">
        <v>303554861</v>
      </c>
      <c r="P68" s="837">
        <v>30766799</v>
      </c>
      <c r="Q68" s="837">
        <v>151735463</v>
      </c>
      <c r="R68" s="4697" t="s">
        <v>1162</v>
      </c>
      <c r="S68" s="4699" t="s">
        <v>66</v>
      </c>
      <c r="T68" s="4701">
        <v>1</v>
      </c>
      <c r="U68" s="4703">
        <v>38945</v>
      </c>
      <c r="V68" s="4705" t="s">
        <v>71</v>
      </c>
      <c r="W68" s="4705" t="s">
        <v>631</v>
      </c>
      <c r="X68" s="4708">
        <f t="shared" ca="1" si="7"/>
        <v>11.344444444444445</v>
      </c>
      <c r="Y68" s="79">
        <v>56</v>
      </c>
    </row>
    <row r="69" spans="1:25" ht="14.1" customHeight="1" x14ac:dyDescent="0.2">
      <c r="A69" s="79"/>
      <c r="B69" s="2608" t="s">
        <v>1685</v>
      </c>
      <c r="C69" s="4789" t="s">
        <v>2013</v>
      </c>
      <c r="D69" s="4802" t="s">
        <v>40</v>
      </c>
      <c r="E69" s="2030" t="s">
        <v>2130</v>
      </c>
      <c r="F69" s="130">
        <f t="shared" si="6"/>
        <v>122.9427336038371</v>
      </c>
      <c r="G69" s="1711">
        <f>9697.4+21563.2+20234.3+20416.3+19200.9+15436.9+16489.8+5190.7+26949.6</f>
        <v>155179.1</v>
      </c>
      <c r="H69" s="4834"/>
      <c r="I69" s="1742">
        <v>77736069</v>
      </c>
      <c r="J69" s="1742">
        <v>416518382</v>
      </c>
      <c r="K69" s="1742">
        <v>450301568</v>
      </c>
      <c r="L69" s="1742">
        <v>285460086</v>
      </c>
      <c r="M69" s="1742">
        <v>577511079</v>
      </c>
      <c r="N69" s="1742">
        <v>482098617</v>
      </c>
      <c r="O69" s="1742">
        <v>286679655</v>
      </c>
      <c r="P69" s="1742">
        <v>31549440</v>
      </c>
      <c r="Q69" s="1742">
        <v>162994800</v>
      </c>
      <c r="R69" s="1712" t="s">
        <v>1163</v>
      </c>
      <c r="S69" s="2231" t="s">
        <v>66</v>
      </c>
      <c r="T69" s="1713">
        <v>1</v>
      </c>
      <c r="U69" s="2555">
        <v>37985</v>
      </c>
      <c r="V69" s="1714" t="s">
        <v>1164</v>
      </c>
      <c r="W69" s="1714" t="s">
        <v>2019</v>
      </c>
      <c r="X69" s="1715">
        <f t="shared" ca="1" si="7"/>
        <v>13.972222222222221</v>
      </c>
      <c r="Y69" s="79"/>
    </row>
    <row r="70" spans="1:25" ht="14.1" customHeight="1" x14ac:dyDescent="0.25">
      <c r="A70" s="79">
        <v>58</v>
      </c>
      <c r="B70" s="3141" t="s">
        <v>1103</v>
      </c>
      <c r="C70" s="4687" t="s">
        <v>1255</v>
      </c>
      <c r="D70" s="2146"/>
      <c r="E70" s="2031"/>
      <c r="F70" s="2108">
        <f t="shared" si="6"/>
        <v>123.4043591656188</v>
      </c>
      <c r="G70" s="4692">
        <f>5192+9486+9300+12415+13050+8932+12064+4118+20143</f>
        <v>94700</v>
      </c>
      <c r="H70" s="4502"/>
      <c r="I70" s="4507">
        <v>75656785</v>
      </c>
      <c r="J70" s="4507">
        <v>415393059</v>
      </c>
      <c r="K70" s="2110">
        <v>458193253</v>
      </c>
      <c r="L70" s="4507">
        <v>291484887</v>
      </c>
      <c r="M70" s="2110">
        <v>579371253</v>
      </c>
      <c r="N70" s="4507">
        <v>482706801</v>
      </c>
      <c r="O70" s="2110">
        <v>288047920</v>
      </c>
      <c r="P70" s="2110">
        <v>31724478</v>
      </c>
      <c r="Q70" s="2110">
        <v>166451274</v>
      </c>
      <c r="R70" s="2568" t="s">
        <v>1161</v>
      </c>
      <c r="S70" s="2940" t="s">
        <v>66</v>
      </c>
      <c r="T70" s="2111">
        <v>1</v>
      </c>
      <c r="U70" s="2594">
        <v>38377</v>
      </c>
      <c r="V70" s="2112" t="s">
        <v>74</v>
      </c>
      <c r="W70" s="2112" t="s">
        <v>2019</v>
      </c>
      <c r="X70" s="2113">
        <f t="shared" ca="1" si="7"/>
        <v>12.902777777777779</v>
      </c>
      <c r="Y70" s="79">
        <v>58</v>
      </c>
    </row>
    <row r="71" spans="1:25" ht="14.1" customHeight="1" x14ac:dyDescent="0.25">
      <c r="A71" s="1347"/>
      <c r="B71" s="1708" t="s">
        <v>1685</v>
      </c>
      <c r="C71" s="1217" t="s">
        <v>1691</v>
      </c>
      <c r="D71" s="1270"/>
      <c r="E71" s="2030"/>
      <c r="F71" s="2108">
        <f t="shared" si="6"/>
        <v>125.34025100868725</v>
      </c>
      <c r="G71" s="4824">
        <f>2542+1170+11177+6769+16804+14667+4303+1164+4057</f>
        <v>62653</v>
      </c>
      <c r="H71" s="100"/>
      <c r="I71" s="2114">
        <v>88241297</v>
      </c>
      <c r="J71" s="2114">
        <v>355560250</v>
      </c>
      <c r="K71" s="2114">
        <v>465750155</v>
      </c>
      <c r="L71" s="2114">
        <v>307804666</v>
      </c>
      <c r="M71" s="2114">
        <v>581101078</v>
      </c>
      <c r="N71" s="1717">
        <v>483658230</v>
      </c>
      <c r="O71" s="1717">
        <v>300585419</v>
      </c>
      <c r="P71" s="1717">
        <v>31945016</v>
      </c>
      <c r="Q71" s="1717">
        <v>155651110</v>
      </c>
      <c r="R71" s="2593" t="s">
        <v>75</v>
      </c>
      <c r="S71" s="3137" t="s">
        <v>66</v>
      </c>
      <c r="T71" s="101">
        <v>1</v>
      </c>
      <c r="U71" s="2620">
        <v>38174</v>
      </c>
      <c r="V71" s="2595" t="s">
        <v>71</v>
      </c>
      <c r="W71" s="2595" t="s">
        <v>631</v>
      </c>
      <c r="X71" s="2109">
        <f t="shared" ca="1" si="7"/>
        <v>13.455555555555556</v>
      </c>
      <c r="Y71" s="1347"/>
    </row>
    <row r="72" spans="1:25" ht="14.1" customHeight="1" x14ac:dyDescent="0.25">
      <c r="A72" s="1347">
        <v>60</v>
      </c>
      <c r="B72" s="1729" t="s">
        <v>1685</v>
      </c>
      <c r="C72" s="1226" t="s">
        <v>2519</v>
      </c>
      <c r="D72" s="1693"/>
      <c r="E72" s="2031"/>
      <c r="F72" s="130">
        <f t="shared" si="6"/>
        <v>126.2670203520768</v>
      </c>
      <c r="G72" s="4823"/>
      <c r="H72" s="2571"/>
      <c r="I72" s="1744">
        <v>80540912</v>
      </c>
      <c r="J72" s="1744">
        <v>355559193</v>
      </c>
      <c r="K72" s="1744">
        <v>471124098</v>
      </c>
      <c r="L72" s="1744">
        <v>311689449</v>
      </c>
      <c r="M72" s="1744">
        <v>586338220</v>
      </c>
      <c r="N72" s="1744">
        <v>488585911</v>
      </c>
      <c r="O72" s="1745">
        <v>309410285</v>
      </c>
      <c r="P72" s="1744">
        <v>31723664</v>
      </c>
      <c r="Q72" s="1744">
        <v>177947254</v>
      </c>
      <c r="R72" s="1731" t="s">
        <v>75</v>
      </c>
      <c r="S72" s="2115" t="s">
        <v>66</v>
      </c>
      <c r="T72" s="1732">
        <v>1</v>
      </c>
      <c r="U72" s="2234">
        <v>38162</v>
      </c>
      <c r="V72" s="1733" t="s">
        <v>76</v>
      </c>
      <c r="W72" s="1733" t="s">
        <v>2019</v>
      </c>
      <c r="X72" s="1735">
        <f t="shared" ca="1" si="7"/>
        <v>13.488888888888889</v>
      </c>
      <c r="Y72" s="1347">
        <v>60</v>
      </c>
    </row>
    <row r="73" spans="1:25" ht="14.1" customHeight="1" x14ac:dyDescent="0.2">
      <c r="A73" s="1347"/>
      <c r="B73" s="2608" t="s">
        <v>1685</v>
      </c>
      <c r="C73" s="2610" t="s">
        <v>2014</v>
      </c>
      <c r="D73" s="3131" t="s">
        <v>40</v>
      </c>
      <c r="E73" s="2030" t="s">
        <v>2130</v>
      </c>
      <c r="F73" s="130">
        <f t="shared" si="6"/>
        <v>128.26887751410825</v>
      </c>
      <c r="G73" s="1711">
        <f>5389.94+10881.75+9647.03+9058.52+8863.08+6687.67+8562.28+2328.24+11598.63</f>
        <v>73017.14</v>
      </c>
      <c r="H73" s="1711"/>
      <c r="I73" s="1742">
        <v>85538241</v>
      </c>
      <c r="J73" s="1743">
        <v>418335901</v>
      </c>
      <c r="K73" s="1742">
        <v>455656935</v>
      </c>
      <c r="L73" s="1742">
        <v>295734306</v>
      </c>
      <c r="M73" s="1742">
        <v>582767809</v>
      </c>
      <c r="N73" s="1742">
        <v>481871203</v>
      </c>
      <c r="O73" s="1742">
        <v>292318030</v>
      </c>
      <c r="P73" s="1742">
        <v>34906309</v>
      </c>
      <c r="Q73" s="1742">
        <v>174447930</v>
      </c>
      <c r="R73" s="1712" t="s">
        <v>1169</v>
      </c>
      <c r="S73" s="2231" t="s">
        <v>66</v>
      </c>
      <c r="T73" s="1713">
        <v>1</v>
      </c>
      <c r="U73" s="2555">
        <v>37945</v>
      </c>
      <c r="V73" s="1714" t="s">
        <v>98</v>
      </c>
      <c r="W73" s="2240" t="s">
        <v>2019</v>
      </c>
      <c r="X73" s="2242">
        <f t="shared" ca="1" si="7"/>
        <v>14.083333333333334</v>
      </c>
      <c r="Y73" s="1347"/>
    </row>
    <row r="74" spans="1:25" ht="14.1" customHeight="1" x14ac:dyDescent="0.2">
      <c r="A74" s="1347">
        <v>62</v>
      </c>
      <c r="B74" s="1729" t="s">
        <v>1685</v>
      </c>
      <c r="C74" s="1226" t="s">
        <v>2015</v>
      </c>
      <c r="D74" s="1417" t="s">
        <v>40</v>
      </c>
      <c r="E74" s="2031" t="s">
        <v>2130</v>
      </c>
      <c r="F74" s="130">
        <f t="shared" si="6"/>
        <v>128.83134519766085</v>
      </c>
      <c r="G74" s="2572">
        <f>6174.1+2468.9+19936.7+14570.5+13668.6+7104.3+7230.25+4556.3+26293.1</f>
        <v>102002.75</v>
      </c>
      <c r="H74" s="2572"/>
      <c r="I74" s="1747">
        <v>83093310</v>
      </c>
      <c r="J74" s="1747">
        <v>546842342</v>
      </c>
      <c r="K74" s="1747">
        <v>446567681</v>
      </c>
      <c r="L74" s="1747">
        <v>251327468</v>
      </c>
      <c r="M74" s="1747">
        <v>580175202</v>
      </c>
      <c r="N74" s="1747">
        <v>463125275</v>
      </c>
      <c r="O74" s="1747">
        <v>351337723</v>
      </c>
      <c r="P74" s="1747">
        <v>31677205</v>
      </c>
      <c r="Q74" s="1747">
        <v>156646249</v>
      </c>
      <c r="R74" s="2552" t="s">
        <v>1165</v>
      </c>
      <c r="S74" s="2553" t="s">
        <v>66</v>
      </c>
      <c r="T74" s="2554">
        <v>1</v>
      </c>
      <c r="U74" s="2944">
        <v>38710</v>
      </c>
      <c r="V74" s="2556" t="s">
        <v>76</v>
      </c>
      <c r="W74" s="2240" t="s">
        <v>2425</v>
      </c>
      <c r="X74" s="2242">
        <f t="shared" ca="1" si="7"/>
        <v>11.988888888888889</v>
      </c>
      <c r="Y74" s="1347">
        <v>62</v>
      </c>
    </row>
    <row r="75" spans="1:25" ht="14.1" customHeight="1" x14ac:dyDescent="0.2">
      <c r="A75" s="1347"/>
      <c r="B75" s="1708" t="s">
        <v>1685</v>
      </c>
      <c r="C75" s="1217" t="s">
        <v>1258</v>
      </c>
      <c r="D75" s="1269" t="s">
        <v>40</v>
      </c>
      <c r="E75" s="2030" t="s">
        <v>2130</v>
      </c>
      <c r="F75" s="130">
        <f t="shared" si="6"/>
        <v>129.49779040471111</v>
      </c>
      <c r="G75" s="3133"/>
      <c r="H75" s="3133"/>
      <c r="I75" s="1742">
        <v>90681615</v>
      </c>
      <c r="J75" s="1743">
        <v>450950239</v>
      </c>
      <c r="K75" s="1743">
        <v>464710944</v>
      </c>
      <c r="L75" s="1742">
        <v>286660556</v>
      </c>
      <c r="M75" s="1742">
        <v>578232171</v>
      </c>
      <c r="N75" s="1742">
        <v>481023105</v>
      </c>
      <c r="O75" s="1742">
        <v>292139367</v>
      </c>
      <c r="P75" s="1742">
        <v>33336788</v>
      </c>
      <c r="Q75" s="1742">
        <v>173792560</v>
      </c>
      <c r="R75" s="1712" t="s">
        <v>1167</v>
      </c>
      <c r="S75" s="2231" t="s">
        <v>66</v>
      </c>
      <c r="T75" s="1713">
        <v>1</v>
      </c>
      <c r="U75" s="2555">
        <v>39101</v>
      </c>
      <c r="V75" s="1714" t="s">
        <v>73</v>
      </c>
      <c r="W75" s="2947" t="s">
        <v>1168</v>
      </c>
      <c r="X75" s="2569">
        <f t="shared" ca="1" si="7"/>
        <v>10.919444444444444</v>
      </c>
      <c r="Y75" s="1347"/>
    </row>
    <row r="76" spans="1:25" ht="14.1" customHeight="1" x14ac:dyDescent="0.2">
      <c r="A76" s="1347">
        <v>64</v>
      </c>
      <c r="B76" s="1729" t="s">
        <v>1685</v>
      </c>
      <c r="C76" s="4788" t="s">
        <v>2406</v>
      </c>
      <c r="D76" s="1417"/>
      <c r="E76" s="2031" t="s">
        <v>2130</v>
      </c>
      <c r="F76" s="130">
        <f t="shared" si="6"/>
        <v>130.25821574660392</v>
      </c>
      <c r="G76" s="2551">
        <f>2439.9+3718.55+3525.13+5341.57+3139.14+2231.19+5158.45+1790.54+8758</f>
        <v>36102.47</v>
      </c>
      <c r="H76" s="2571"/>
      <c r="I76" s="1745">
        <v>83357125</v>
      </c>
      <c r="J76" s="1745">
        <v>458759350</v>
      </c>
      <c r="K76" s="1745">
        <v>470397158</v>
      </c>
      <c r="L76" s="1745">
        <v>297812735</v>
      </c>
      <c r="M76" s="1745">
        <v>573935997</v>
      </c>
      <c r="N76" s="1745">
        <v>481630356</v>
      </c>
      <c r="O76" s="1745">
        <v>308202544</v>
      </c>
      <c r="P76" s="1745">
        <v>33919391</v>
      </c>
      <c r="Q76" s="1745">
        <v>180946750</v>
      </c>
      <c r="R76" s="1731" t="s">
        <v>2402</v>
      </c>
      <c r="S76" s="2551" t="s">
        <v>66</v>
      </c>
      <c r="T76" s="1732">
        <v>1</v>
      </c>
      <c r="U76" s="2234">
        <v>40775</v>
      </c>
      <c r="V76" s="1733" t="s">
        <v>181</v>
      </c>
      <c r="W76" s="4523" t="s">
        <v>107</v>
      </c>
      <c r="X76" s="2583">
        <f t="shared" ca="1" si="7"/>
        <v>6.333333333333333</v>
      </c>
      <c r="Y76" s="1347">
        <v>64</v>
      </c>
    </row>
    <row r="77" spans="1:25" ht="14.1" customHeight="1" x14ac:dyDescent="0.2">
      <c r="A77" s="1347"/>
      <c r="B77" s="98" t="s">
        <v>1685</v>
      </c>
      <c r="C77" s="1217" t="s">
        <v>1259</v>
      </c>
      <c r="D77" s="1948" t="s">
        <v>40</v>
      </c>
      <c r="E77" s="2585" t="s">
        <v>2130</v>
      </c>
      <c r="F77" s="130">
        <f t="shared" si="6"/>
        <v>131.78826223525496</v>
      </c>
      <c r="G77" s="3920">
        <f>14042+11588+12123+16756+11658+9148+15379+5947+21880</f>
        <v>118521</v>
      </c>
      <c r="H77" s="2622"/>
      <c r="I77" s="1746">
        <v>96820225</v>
      </c>
      <c r="J77" s="1747">
        <v>439148907</v>
      </c>
      <c r="K77" s="1747">
        <v>467757728</v>
      </c>
      <c r="L77" s="1746">
        <v>296647076</v>
      </c>
      <c r="M77" s="1747">
        <v>587941217</v>
      </c>
      <c r="N77" s="1746">
        <v>481801393</v>
      </c>
      <c r="O77" s="1747">
        <v>292696785</v>
      </c>
      <c r="P77" s="1747">
        <v>33657150</v>
      </c>
      <c r="Q77" s="1747">
        <v>176892719</v>
      </c>
      <c r="R77" s="2552" t="s">
        <v>1167</v>
      </c>
      <c r="S77" s="2553" t="s">
        <v>66</v>
      </c>
      <c r="T77" s="2554">
        <v>1</v>
      </c>
      <c r="U77" s="2944">
        <v>38862</v>
      </c>
      <c r="V77" s="2556" t="s">
        <v>73</v>
      </c>
      <c r="W77" s="2240" t="s">
        <v>1168</v>
      </c>
      <c r="X77" s="2242">
        <f t="shared" ca="1" si="7"/>
        <v>11.569444444444445</v>
      </c>
      <c r="Y77" s="1347"/>
    </row>
    <row r="78" spans="1:25" ht="14.1" customHeight="1" x14ac:dyDescent="0.25">
      <c r="A78" s="1347">
        <v>66</v>
      </c>
      <c r="B78" s="3141" t="s">
        <v>1103</v>
      </c>
      <c r="C78" s="1226" t="s">
        <v>1690</v>
      </c>
      <c r="D78" s="2146"/>
      <c r="E78" s="2031"/>
      <c r="F78" s="130">
        <f t="shared" ref="F78:F104" si="8">SUM(I78/I$11,J78/J$11,K78/K$11,L78/L$11,M78/M$11,N78/N$11,O78/O$11,P78/P$11,Q78/Q$11)/9*100</f>
        <v>132.0236980236248</v>
      </c>
      <c r="G78" s="2551"/>
      <c r="H78" s="4833"/>
      <c r="I78" s="1745">
        <v>84474244</v>
      </c>
      <c r="J78" s="1744">
        <v>351192748</v>
      </c>
      <c r="K78" s="1745">
        <v>475837984</v>
      </c>
      <c r="L78" s="1745">
        <v>300450436</v>
      </c>
      <c r="M78" s="1745">
        <v>593480152</v>
      </c>
      <c r="N78" s="1745">
        <v>490867944</v>
      </c>
      <c r="O78" s="1745">
        <v>339585040</v>
      </c>
      <c r="P78" s="1745">
        <v>36208420</v>
      </c>
      <c r="Q78" s="1745">
        <v>199687912</v>
      </c>
      <c r="R78" s="1731" t="s">
        <v>61</v>
      </c>
      <c r="S78" s="2115" t="s">
        <v>66</v>
      </c>
      <c r="T78" s="1732">
        <v>1</v>
      </c>
      <c r="U78" s="2234">
        <v>36960</v>
      </c>
      <c r="V78" s="1733" t="s">
        <v>63</v>
      </c>
      <c r="W78" s="2596" t="s">
        <v>633</v>
      </c>
      <c r="X78" s="2583">
        <f t="shared" ref="X78:X104" ca="1" si="9">YEARFRAC(U78,X$6)</f>
        <v>16.777777777777779</v>
      </c>
      <c r="Y78" s="1347">
        <v>66</v>
      </c>
    </row>
    <row r="79" spans="1:25" ht="14.1" customHeight="1" x14ac:dyDescent="0.2">
      <c r="A79" s="1347"/>
      <c r="B79" s="98" t="s">
        <v>1685</v>
      </c>
      <c r="C79" s="1217" t="s">
        <v>1166</v>
      </c>
      <c r="D79" s="1269"/>
      <c r="E79" s="2030" t="s">
        <v>2130</v>
      </c>
      <c r="F79" s="130">
        <f t="shared" si="8"/>
        <v>132.04553174612306</v>
      </c>
      <c r="G79" s="4693">
        <f>3884.2+13178+12893.5+8265.1+14267.5+11238.3+6395+1959.1+7075.3</f>
        <v>79156.000000000015</v>
      </c>
      <c r="H79" s="4693"/>
      <c r="I79" s="1748">
        <v>83427371</v>
      </c>
      <c r="J79" s="1748">
        <v>547704954</v>
      </c>
      <c r="K79" s="1748">
        <v>484497936</v>
      </c>
      <c r="L79" s="1748">
        <v>286729239</v>
      </c>
      <c r="M79" s="1748">
        <v>590511304</v>
      </c>
      <c r="N79" s="1748">
        <v>491154809</v>
      </c>
      <c r="O79" s="1748">
        <v>320897104</v>
      </c>
      <c r="P79" s="1748">
        <v>33382310</v>
      </c>
      <c r="Q79" s="1748">
        <v>158381469</v>
      </c>
      <c r="R79" s="4859" t="s">
        <v>118</v>
      </c>
      <c r="S79" s="4693" t="s">
        <v>66</v>
      </c>
      <c r="T79" s="4884">
        <v>1</v>
      </c>
      <c r="U79" s="4896">
        <v>39920</v>
      </c>
      <c r="V79" s="4908" t="s">
        <v>71</v>
      </c>
      <c r="W79" s="2240" t="s">
        <v>2022</v>
      </c>
      <c r="X79" s="2242">
        <f t="shared" ca="1" si="9"/>
        <v>8.6750000000000007</v>
      </c>
      <c r="Y79" s="1347"/>
    </row>
    <row r="80" spans="1:25" ht="14.1" customHeight="1" x14ac:dyDescent="0.2">
      <c r="A80" s="1347">
        <v>68</v>
      </c>
      <c r="B80" s="3142" t="s">
        <v>1685</v>
      </c>
      <c r="C80" s="1226" t="s">
        <v>2733</v>
      </c>
      <c r="D80" s="1417"/>
      <c r="E80" s="2031" t="s">
        <v>2130</v>
      </c>
      <c r="F80" s="1698">
        <f t="shared" si="8"/>
        <v>137.97107843907753</v>
      </c>
      <c r="G80" s="4821">
        <f>1700.06+9744.79+7329.7+3793.5+9465.78+7713.01+2425.13+488.07+1468.11</f>
        <v>44128.15</v>
      </c>
      <c r="H80" s="2551"/>
      <c r="I80" s="1745">
        <v>92849862</v>
      </c>
      <c r="J80" s="1745">
        <v>520472568</v>
      </c>
      <c r="K80" s="1745">
        <v>478318032</v>
      </c>
      <c r="L80" s="1745">
        <v>311363922</v>
      </c>
      <c r="M80" s="1745">
        <v>592604616</v>
      </c>
      <c r="N80" s="1745">
        <v>488681558</v>
      </c>
      <c r="O80" s="1745">
        <v>323832436</v>
      </c>
      <c r="P80" s="1745">
        <v>34925723</v>
      </c>
      <c r="Q80" s="1745">
        <v>191173786</v>
      </c>
      <c r="R80" s="3251" t="s">
        <v>2734</v>
      </c>
      <c r="S80" s="4821" t="s">
        <v>66</v>
      </c>
      <c r="T80" s="3253">
        <v>1</v>
      </c>
      <c r="U80" s="3254">
        <v>37910</v>
      </c>
      <c r="V80" s="3255" t="s">
        <v>71</v>
      </c>
      <c r="W80" s="4522" t="s">
        <v>631</v>
      </c>
      <c r="X80" s="2583">
        <f t="shared" ca="1" si="9"/>
        <v>14.177777777777777</v>
      </c>
      <c r="Y80" s="1347">
        <v>68</v>
      </c>
    </row>
    <row r="81" spans="1:25" ht="14.1" customHeight="1" x14ac:dyDescent="0.25">
      <c r="A81" s="1347"/>
      <c r="B81" s="4781" t="s">
        <v>1103</v>
      </c>
      <c r="C81" s="1217" t="s">
        <v>2660</v>
      </c>
      <c r="D81" s="1751"/>
      <c r="E81" s="2030"/>
      <c r="F81" s="1698">
        <f t="shared" si="8"/>
        <v>138.43432122004643</v>
      </c>
      <c r="G81" s="4822"/>
      <c r="H81" s="4822"/>
      <c r="I81" s="1746">
        <v>96721221</v>
      </c>
      <c r="J81" s="1746">
        <v>535557538</v>
      </c>
      <c r="K81" s="1746">
        <v>475502568</v>
      </c>
      <c r="L81" s="1746">
        <v>299035553</v>
      </c>
      <c r="M81" s="1746">
        <v>586660312</v>
      </c>
      <c r="N81" s="1746">
        <v>485057345</v>
      </c>
      <c r="O81" s="1747">
        <v>313902788</v>
      </c>
      <c r="P81" s="1746">
        <v>37065923</v>
      </c>
      <c r="Q81" s="1746">
        <v>185357864</v>
      </c>
      <c r="R81" s="2552" t="s">
        <v>87</v>
      </c>
      <c r="S81" s="2553" t="s">
        <v>66</v>
      </c>
      <c r="T81" s="2554">
        <v>1</v>
      </c>
      <c r="U81" s="3138">
        <v>38831</v>
      </c>
      <c r="V81" s="2556" t="s">
        <v>71</v>
      </c>
      <c r="W81" s="2240" t="s">
        <v>138</v>
      </c>
      <c r="X81" s="2242">
        <f t="shared" ca="1" si="9"/>
        <v>11.655555555555555</v>
      </c>
      <c r="Y81" s="1347"/>
    </row>
    <row r="82" spans="1:25" ht="14.1" customHeight="1" x14ac:dyDescent="0.25">
      <c r="A82" s="1347">
        <v>70</v>
      </c>
      <c r="B82" s="1729" t="s">
        <v>1685</v>
      </c>
      <c r="C82" s="1226" t="s">
        <v>680</v>
      </c>
      <c r="D82" s="2146"/>
      <c r="E82" s="2031" t="s">
        <v>2130</v>
      </c>
      <c r="F82" s="1736">
        <f t="shared" si="8"/>
        <v>139.14834142984361</v>
      </c>
      <c r="G82" s="2571"/>
      <c r="H82" s="2571"/>
      <c r="I82" s="1745">
        <v>102047041</v>
      </c>
      <c r="J82" s="1745">
        <v>372377185</v>
      </c>
      <c r="K82" s="1745">
        <v>481473400</v>
      </c>
      <c r="L82" s="1745">
        <v>312670582</v>
      </c>
      <c r="M82" s="1745">
        <v>594570674</v>
      </c>
      <c r="N82" s="1745">
        <v>489808954</v>
      </c>
      <c r="O82" s="1745">
        <v>345716754</v>
      </c>
      <c r="P82" s="1745">
        <v>38542846</v>
      </c>
      <c r="Q82" s="1745">
        <v>202317435</v>
      </c>
      <c r="R82" s="2939" t="s">
        <v>83</v>
      </c>
      <c r="S82" s="2551" t="s">
        <v>66</v>
      </c>
      <c r="T82" s="1732">
        <v>1</v>
      </c>
      <c r="U82" s="2943">
        <v>37604</v>
      </c>
      <c r="V82" s="4907" t="s">
        <v>71</v>
      </c>
      <c r="W82" s="4916" t="s">
        <v>2020</v>
      </c>
      <c r="X82" s="2583">
        <f t="shared" ca="1" si="9"/>
        <v>15.016666666666667</v>
      </c>
      <c r="Y82" s="1347">
        <v>70</v>
      </c>
    </row>
    <row r="83" spans="1:25" ht="14.1" customHeight="1" x14ac:dyDescent="0.2">
      <c r="A83" s="1347"/>
      <c r="B83" s="3126" t="s">
        <v>1685</v>
      </c>
      <c r="C83" s="2149" t="s">
        <v>2399</v>
      </c>
      <c r="D83" s="1269"/>
      <c r="E83" s="2030" t="s">
        <v>2130</v>
      </c>
      <c r="F83" s="1736">
        <f t="shared" si="8"/>
        <v>141.83752209048316</v>
      </c>
      <c r="G83" s="2754">
        <f>1472.1+4342.9+4210.7+3407.3+4506.5+3634.8+3890.2+711.6+4205.7</f>
        <v>30381.8</v>
      </c>
      <c r="H83" s="100"/>
      <c r="I83" s="1717">
        <v>100242351</v>
      </c>
      <c r="J83" s="1717">
        <v>567028762</v>
      </c>
      <c r="K83" s="1717">
        <v>499446665</v>
      </c>
      <c r="L83" s="1717">
        <v>306641140</v>
      </c>
      <c r="M83" s="4850">
        <v>614449525</v>
      </c>
      <c r="N83" s="1717">
        <v>509914060</v>
      </c>
      <c r="O83" s="1717">
        <v>329071118</v>
      </c>
      <c r="P83" s="1717">
        <v>36898960</v>
      </c>
      <c r="Q83" s="1717">
        <v>169509374</v>
      </c>
      <c r="R83" s="4858" t="s">
        <v>2350</v>
      </c>
      <c r="S83" s="4872" t="s">
        <v>62</v>
      </c>
      <c r="T83" s="4883">
        <v>1</v>
      </c>
      <c r="U83" s="4895">
        <v>41664</v>
      </c>
      <c r="V83" s="4906" t="s">
        <v>76</v>
      </c>
      <c r="W83" s="3924" t="s">
        <v>246</v>
      </c>
      <c r="X83" s="2242">
        <f t="shared" ca="1" si="9"/>
        <v>3.9027777777777777</v>
      </c>
      <c r="Y83" s="1347"/>
    </row>
    <row r="84" spans="1:25" ht="14.1" customHeight="1" x14ac:dyDescent="0.2">
      <c r="A84" s="1347">
        <v>72</v>
      </c>
      <c r="B84" s="3142" t="s">
        <v>1685</v>
      </c>
      <c r="C84" s="2190" t="s">
        <v>2054</v>
      </c>
      <c r="D84" s="1417" t="s">
        <v>40</v>
      </c>
      <c r="E84" s="2031" t="s">
        <v>2130</v>
      </c>
      <c r="F84" s="1736">
        <f t="shared" si="8"/>
        <v>143.17558210399312</v>
      </c>
      <c r="G84" s="2551">
        <f>1717.28+7855.66+3935.69+2473.56+2756.14+2008.46+10068.66+635.84+4309.04</f>
        <v>35760.33</v>
      </c>
      <c r="H84" s="2551"/>
      <c r="I84" s="1745">
        <v>92579168</v>
      </c>
      <c r="J84" s="1745">
        <v>515780185</v>
      </c>
      <c r="K84" s="1745">
        <v>496658223</v>
      </c>
      <c r="L84" s="1745">
        <v>317486999</v>
      </c>
      <c r="M84" s="1745">
        <v>578728730</v>
      </c>
      <c r="N84" s="1745">
        <v>484823550</v>
      </c>
      <c r="O84" s="1745">
        <v>369173851</v>
      </c>
      <c r="P84" s="1745">
        <v>37374929</v>
      </c>
      <c r="Q84" s="1745">
        <v>212288882</v>
      </c>
      <c r="R84" s="1731" t="s">
        <v>1854</v>
      </c>
      <c r="S84" s="4871" t="s">
        <v>62</v>
      </c>
      <c r="T84" s="1732">
        <v>1</v>
      </c>
      <c r="U84" s="2234">
        <v>42420</v>
      </c>
      <c r="V84" s="1733" t="s">
        <v>76</v>
      </c>
      <c r="W84" s="2596" t="s">
        <v>691</v>
      </c>
      <c r="X84" s="2583">
        <f t="shared" ca="1" si="9"/>
        <v>1.8333333333333333</v>
      </c>
      <c r="Y84" s="1347">
        <v>72</v>
      </c>
    </row>
    <row r="85" spans="1:25" ht="14.1" customHeight="1" x14ac:dyDescent="0.25">
      <c r="A85" s="1347"/>
      <c r="B85" s="2626" t="s">
        <v>1685</v>
      </c>
      <c r="C85" s="1217" t="s">
        <v>1689</v>
      </c>
      <c r="D85" s="1270"/>
      <c r="E85" s="2030" t="s">
        <v>2130</v>
      </c>
      <c r="F85" s="1736">
        <f t="shared" si="8"/>
        <v>143.99816572257515</v>
      </c>
      <c r="G85" s="2754">
        <f>4642+13079+13292+10110+11823+9630+9550+2118+12564</f>
        <v>86808</v>
      </c>
      <c r="H85" s="100"/>
      <c r="I85" s="1717">
        <v>108742638</v>
      </c>
      <c r="J85" s="1717">
        <v>515222797</v>
      </c>
      <c r="K85" s="1717">
        <v>476027285</v>
      </c>
      <c r="L85" s="1717">
        <v>311087890</v>
      </c>
      <c r="M85" s="1717">
        <v>592244756</v>
      </c>
      <c r="N85" s="1717">
        <v>484868963</v>
      </c>
      <c r="O85" s="1717">
        <v>321110780</v>
      </c>
      <c r="P85" s="2114">
        <v>39313539</v>
      </c>
      <c r="Q85" s="1717">
        <v>201363664</v>
      </c>
      <c r="R85" s="4857" t="s">
        <v>1170</v>
      </c>
      <c r="S85" s="3920" t="s">
        <v>66</v>
      </c>
      <c r="T85" s="4518">
        <v>1</v>
      </c>
      <c r="U85" s="4894">
        <v>40872</v>
      </c>
      <c r="V85" s="4521" t="s">
        <v>73</v>
      </c>
      <c r="W85" s="4521" t="s">
        <v>2019</v>
      </c>
      <c r="X85" s="2242">
        <f t="shared" ca="1" si="9"/>
        <v>6.0694444444444446</v>
      </c>
      <c r="Y85" s="1347"/>
    </row>
    <row r="86" spans="1:25" ht="14.1" customHeight="1" x14ac:dyDescent="0.2">
      <c r="A86" s="1347">
        <v>74</v>
      </c>
      <c r="B86" s="3142" t="s">
        <v>1685</v>
      </c>
      <c r="C86" s="1508" t="s">
        <v>2055</v>
      </c>
      <c r="D86" s="1417" t="s">
        <v>40</v>
      </c>
      <c r="E86" s="2031" t="s">
        <v>2130</v>
      </c>
      <c r="F86" s="1736">
        <f t="shared" si="8"/>
        <v>144.71498212222517</v>
      </c>
      <c r="G86" s="4821">
        <f>2599.46+16130+6400+4682.67+5188.82+4002.43+15339.84+1153.39+6823.41</f>
        <v>62320.020000000004</v>
      </c>
      <c r="H86" s="2551"/>
      <c r="I86" s="1745">
        <v>93026454</v>
      </c>
      <c r="J86" s="1745">
        <v>514428273</v>
      </c>
      <c r="K86" s="1745">
        <v>497224935</v>
      </c>
      <c r="L86" s="1745">
        <v>323710387</v>
      </c>
      <c r="M86" s="1745">
        <v>579471886</v>
      </c>
      <c r="N86" s="1745">
        <v>484751089</v>
      </c>
      <c r="O86" s="1745">
        <v>369303362</v>
      </c>
      <c r="P86" s="1745">
        <v>37661282</v>
      </c>
      <c r="Q86" s="1745">
        <v>224432331</v>
      </c>
      <c r="R86" s="1731" t="s">
        <v>1854</v>
      </c>
      <c r="S86" s="2551" t="s">
        <v>66</v>
      </c>
      <c r="T86" s="1732">
        <v>1</v>
      </c>
      <c r="U86" s="2234">
        <v>42268</v>
      </c>
      <c r="V86" s="1733" t="s">
        <v>76</v>
      </c>
      <c r="W86" s="2596" t="s">
        <v>691</v>
      </c>
      <c r="X86" s="2583">
        <f t="shared" ca="1" si="9"/>
        <v>2.2472222222222222</v>
      </c>
      <c r="Y86" s="1347">
        <v>74</v>
      </c>
    </row>
    <row r="87" spans="1:25" ht="14.1" customHeight="1" x14ac:dyDescent="0.25">
      <c r="A87" s="1347"/>
      <c r="B87" s="98" t="s">
        <v>1685</v>
      </c>
      <c r="C87" s="2558" t="s">
        <v>1688</v>
      </c>
      <c r="D87" s="1270"/>
      <c r="E87" s="3919" t="s">
        <v>2130</v>
      </c>
      <c r="F87" s="1736">
        <f t="shared" si="8"/>
        <v>148.72870901172018</v>
      </c>
      <c r="G87" s="4820">
        <f>19959+30664+27550+66847+0+27670+0+0+0</f>
        <v>172690</v>
      </c>
      <c r="H87" s="2572"/>
      <c r="I87" s="1747">
        <v>108446482</v>
      </c>
      <c r="J87" s="1746">
        <f>475572500+88415835</f>
        <v>563988335</v>
      </c>
      <c r="K87" s="1746">
        <f>448311175+57528460</f>
        <v>505839635</v>
      </c>
      <c r="L87" s="1746">
        <f>186234476+133731168</f>
        <v>319965644</v>
      </c>
      <c r="M87" s="4849">
        <f>301736526+286743914</f>
        <v>588480440</v>
      </c>
      <c r="N87" s="1746">
        <v>489679170</v>
      </c>
      <c r="O87" s="4849">
        <v>354595460</v>
      </c>
      <c r="P87" s="4849">
        <f>38115478-35509</f>
        <v>38079969</v>
      </c>
      <c r="Q87" s="4849">
        <f>112976695+98555094</f>
        <v>211531789</v>
      </c>
      <c r="R87" s="2552" t="s">
        <v>204</v>
      </c>
      <c r="S87" s="2553" t="s">
        <v>131</v>
      </c>
      <c r="T87" s="2554">
        <v>1</v>
      </c>
      <c r="U87" s="2944">
        <v>35545</v>
      </c>
      <c r="V87" s="2556" t="s">
        <v>71</v>
      </c>
      <c r="W87" s="2240" t="s">
        <v>134</v>
      </c>
      <c r="X87" s="2242">
        <f t="shared" ca="1" si="9"/>
        <v>20.652777777777779</v>
      </c>
      <c r="Y87" s="1347"/>
    </row>
    <row r="88" spans="1:25" ht="14.1" customHeight="1" x14ac:dyDescent="0.25">
      <c r="A88" s="1347">
        <v>76</v>
      </c>
      <c r="B88" s="1729" t="s">
        <v>1685</v>
      </c>
      <c r="C88" s="1226" t="s">
        <v>1541</v>
      </c>
      <c r="D88" s="2146"/>
      <c r="E88" s="4810" t="s">
        <v>2130</v>
      </c>
      <c r="F88" s="4452">
        <f t="shared" si="8"/>
        <v>149.06069627662063</v>
      </c>
      <c r="G88" s="4691">
        <f>1390+3700+3627+2887+4098+3106+3405+701+3588</f>
        <v>26502</v>
      </c>
      <c r="H88" s="4501"/>
      <c r="I88" s="2513">
        <v>110433348</v>
      </c>
      <c r="J88" s="2513">
        <v>558557651</v>
      </c>
      <c r="K88" s="2513">
        <v>500305335</v>
      </c>
      <c r="L88" s="2513">
        <v>324185104</v>
      </c>
      <c r="M88" s="4848">
        <v>617486813</v>
      </c>
      <c r="N88" s="2513">
        <v>507092220</v>
      </c>
      <c r="O88" s="2513">
        <v>343824190</v>
      </c>
      <c r="P88" s="2513">
        <v>41119319</v>
      </c>
      <c r="Q88" s="2513">
        <v>189676585</v>
      </c>
      <c r="R88" s="4510" t="s">
        <v>1537</v>
      </c>
      <c r="S88" s="4870" t="s">
        <v>66</v>
      </c>
      <c r="T88" s="4882">
        <v>2</v>
      </c>
      <c r="U88" s="4892">
        <v>41612</v>
      </c>
      <c r="V88" s="4520" t="s">
        <v>76</v>
      </c>
      <c r="W88" s="2596" t="s">
        <v>246</v>
      </c>
      <c r="X88" s="2583">
        <f t="shared" ca="1" si="9"/>
        <v>4.0444444444444443</v>
      </c>
      <c r="Y88" s="1347">
        <v>76</v>
      </c>
    </row>
    <row r="89" spans="1:25" ht="14.1" customHeight="1" x14ac:dyDescent="0.2">
      <c r="A89" s="1347"/>
      <c r="B89" s="3126" t="s">
        <v>1685</v>
      </c>
      <c r="C89" s="1225" t="s">
        <v>1437</v>
      </c>
      <c r="D89" s="1269"/>
      <c r="E89" s="3919"/>
      <c r="F89" s="4452">
        <f t="shared" si="8"/>
        <v>150.25488554125451</v>
      </c>
      <c r="G89" s="4818">
        <f>480.7+4931.4+5795.6+2519.6+6860.1+5885.9+3140.9+94.8+1447.5</f>
        <v>31156.500000000004</v>
      </c>
      <c r="H89" s="2622"/>
      <c r="I89" s="1747">
        <v>99077272</v>
      </c>
      <c r="J89" s="1747">
        <v>496401192</v>
      </c>
      <c r="K89" s="1747">
        <v>524928911</v>
      </c>
      <c r="L89" s="1747">
        <v>335141349</v>
      </c>
      <c r="M89" s="1747">
        <v>579155168</v>
      </c>
      <c r="N89" s="1747">
        <v>487690587</v>
      </c>
      <c r="O89" s="1747">
        <v>351050107</v>
      </c>
      <c r="P89" s="1747">
        <v>44197176</v>
      </c>
      <c r="Q89" s="1747">
        <v>240966863</v>
      </c>
      <c r="R89" s="4856" t="s">
        <v>242</v>
      </c>
      <c r="S89" s="4869" t="s">
        <v>66</v>
      </c>
      <c r="T89" s="4881">
        <v>1</v>
      </c>
      <c r="U89" s="4893">
        <v>41490</v>
      </c>
      <c r="V89" s="4905" t="s">
        <v>98</v>
      </c>
      <c r="W89" s="3924" t="s">
        <v>730</v>
      </c>
      <c r="X89" s="2242">
        <f t="shared" ca="1" si="9"/>
        <v>4.3777777777777782</v>
      </c>
      <c r="Y89" s="1347"/>
    </row>
    <row r="90" spans="1:25" ht="14.1" customHeight="1" x14ac:dyDescent="0.25">
      <c r="A90" s="1347">
        <v>78</v>
      </c>
      <c r="B90" s="1729" t="s">
        <v>1685</v>
      </c>
      <c r="C90" s="1737" t="s">
        <v>191</v>
      </c>
      <c r="D90" s="1693"/>
      <c r="E90" s="2031" t="s">
        <v>2130</v>
      </c>
      <c r="F90" s="4452">
        <f t="shared" si="8"/>
        <v>150.75234349564087</v>
      </c>
      <c r="G90" s="4819"/>
      <c r="H90" s="4501"/>
      <c r="I90" s="2567">
        <v>116973994</v>
      </c>
      <c r="J90" s="2567">
        <v>560169503</v>
      </c>
      <c r="K90" s="2567">
        <v>487587260</v>
      </c>
      <c r="L90" s="2567">
        <v>314940885</v>
      </c>
      <c r="M90" s="2567">
        <v>594633767</v>
      </c>
      <c r="N90" s="2567">
        <v>488224484</v>
      </c>
      <c r="O90" s="2513">
        <v>351194794</v>
      </c>
      <c r="P90" s="2567">
        <v>40417939</v>
      </c>
      <c r="Q90" s="2567">
        <v>210834684</v>
      </c>
      <c r="R90" s="4510" t="s">
        <v>192</v>
      </c>
      <c r="S90" s="4511" t="s">
        <v>131</v>
      </c>
      <c r="T90" s="4517">
        <v>1</v>
      </c>
      <c r="U90" s="4892">
        <v>35831</v>
      </c>
      <c r="V90" s="4520" t="s">
        <v>106</v>
      </c>
      <c r="W90" s="2596" t="s">
        <v>134</v>
      </c>
      <c r="X90" s="2583">
        <f t="shared" ca="1" si="9"/>
        <v>19.875</v>
      </c>
      <c r="Y90" s="1347">
        <v>78</v>
      </c>
    </row>
    <row r="91" spans="1:25" ht="14.1" customHeight="1" x14ac:dyDescent="0.25">
      <c r="A91" s="1347"/>
      <c r="B91" s="2626" t="s">
        <v>1685</v>
      </c>
      <c r="C91" s="1219" t="s">
        <v>2659</v>
      </c>
      <c r="D91" s="1270"/>
      <c r="E91" s="3919" t="s">
        <v>2130</v>
      </c>
      <c r="F91" s="4452">
        <f t="shared" si="8"/>
        <v>151.58080592022361</v>
      </c>
      <c r="G91" s="4818">
        <f>3292.35+6825.82+6448.96+4969.8+4901.86+646.34+264.87+3427.4+2452.8</f>
        <v>33230.200000000004</v>
      </c>
      <c r="H91" s="2622"/>
      <c r="I91" s="1746">
        <v>110431437</v>
      </c>
      <c r="J91" s="1746">
        <v>564566974</v>
      </c>
      <c r="K91" s="1746">
        <v>497815581</v>
      </c>
      <c r="L91" s="1746">
        <v>321059139</v>
      </c>
      <c r="M91" s="1746">
        <v>585931529</v>
      </c>
      <c r="N91" s="1746">
        <v>487049284</v>
      </c>
      <c r="O91" s="1747">
        <v>374317005</v>
      </c>
      <c r="P91" s="1746">
        <v>40105156</v>
      </c>
      <c r="Q91" s="1746">
        <v>221466359</v>
      </c>
      <c r="R91" s="2552" t="s">
        <v>171</v>
      </c>
      <c r="S91" s="2553" t="s">
        <v>66</v>
      </c>
      <c r="T91" s="2554">
        <v>1</v>
      </c>
      <c r="U91" s="3138">
        <v>38747</v>
      </c>
      <c r="V91" s="2556" t="s">
        <v>71</v>
      </c>
      <c r="W91" s="2240" t="s">
        <v>172</v>
      </c>
      <c r="X91" s="2242">
        <f t="shared" ca="1" si="9"/>
        <v>11.888888888888889</v>
      </c>
      <c r="Y91" s="1347"/>
    </row>
    <row r="92" spans="1:25" ht="14.1" customHeight="1" x14ac:dyDescent="0.2">
      <c r="A92" s="1347">
        <v>80</v>
      </c>
      <c r="B92" s="4780" t="s">
        <v>1685</v>
      </c>
      <c r="C92" s="4787" t="s">
        <v>231</v>
      </c>
      <c r="D92" s="4801" t="s">
        <v>40</v>
      </c>
      <c r="E92" s="4809"/>
      <c r="F92" s="4451">
        <f t="shared" si="8"/>
        <v>153.82052082737721</v>
      </c>
      <c r="G92" s="4817"/>
      <c r="H92" s="4832"/>
      <c r="I92" s="2615">
        <v>98265098</v>
      </c>
      <c r="J92" s="2615">
        <v>517769258</v>
      </c>
      <c r="K92" s="2615">
        <v>507243414</v>
      </c>
      <c r="L92" s="2615">
        <v>337022600</v>
      </c>
      <c r="M92" s="2615">
        <v>584348654</v>
      </c>
      <c r="N92" s="2615">
        <v>485706680</v>
      </c>
      <c r="O92" s="2588">
        <v>492516781</v>
      </c>
      <c r="P92" s="2615">
        <v>39056514</v>
      </c>
      <c r="Q92" s="2615">
        <v>226489298</v>
      </c>
      <c r="R92" s="4855" t="s">
        <v>232</v>
      </c>
      <c r="S92" s="4868" t="s">
        <v>66</v>
      </c>
      <c r="T92" s="4880">
        <v>1</v>
      </c>
      <c r="U92" s="4891">
        <v>35855</v>
      </c>
      <c r="V92" s="4904" t="s">
        <v>71</v>
      </c>
      <c r="W92" s="4915" t="s">
        <v>97</v>
      </c>
      <c r="X92" s="4921">
        <f t="shared" ca="1" si="9"/>
        <v>19.802777777777777</v>
      </c>
      <c r="Y92" s="1347">
        <v>80</v>
      </c>
    </row>
    <row r="93" spans="1:25" ht="14.1" customHeight="1" x14ac:dyDescent="0.2">
      <c r="A93" s="1347"/>
      <c r="B93" s="1710" t="s">
        <v>1685</v>
      </c>
      <c r="C93" s="2155" t="s">
        <v>2059</v>
      </c>
      <c r="D93" s="1349" t="s">
        <v>40</v>
      </c>
      <c r="E93" s="4808"/>
      <c r="F93" s="4452">
        <f t="shared" si="8"/>
        <v>154.00929811815831</v>
      </c>
      <c r="G93" s="2612">
        <f>18504.5+3675.29+3348.33+17272.98+4511.15+4923.63+8139.92+25432.37+13690.87</f>
        <v>99499.04</v>
      </c>
      <c r="H93" s="2550"/>
      <c r="I93" s="1747">
        <v>110717836</v>
      </c>
      <c r="J93" s="1747">
        <v>508571773</v>
      </c>
      <c r="K93" s="1747">
        <v>487533700</v>
      </c>
      <c r="L93" s="1747">
        <v>342187344</v>
      </c>
      <c r="M93" s="1747">
        <v>580305908</v>
      </c>
      <c r="N93" s="1747">
        <v>485775670</v>
      </c>
      <c r="O93" s="1747">
        <v>353530524</v>
      </c>
      <c r="P93" s="1747">
        <v>54596918</v>
      </c>
      <c r="Q93" s="1746">
        <v>201822161</v>
      </c>
      <c r="R93" s="1448" t="s">
        <v>109</v>
      </c>
      <c r="S93" s="2025" t="s">
        <v>66</v>
      </c>
      <c r="T93" s="1449">
        <v>1</v>
      </c>
      <c r="U93" s="1450">
        <v>42488</v>
      </c>
      <c r="V93" s="2621" t="s">
        <v>1221</v>
      </c>
      <c r="W93" s="4914" t="s">
        <v>2058</v>
      </c>
      <c r="X93" s="1359">
        <f t="shared" ca="1" si="9"/>
        <v>1.6444444444444444</v>
      </c>
      <c r="Y93" s="1347"/>
    </row>
    <row r="94" spans="1:25" ht="14.1" customHeight="1" x14ac:dyDescent="0.25">
      <c r="A94" s="1347">
        <v>82</v>
      </c>
      <c r="B94" s="1677" t="s">
        <v>1685</v>
      </c>
      <c r="C94" s="3128" t="s">
        <v>222</v>
      </c>
      <c r="D94" s="4800"/>
      <c r="E94" s="2032" t="s">
        <v>2130</v>
      </c>
      <c r="F94" s="4452">
        <f t="shared" si="8"/>
        <v>156.42745135033289</v>
      </c>
      <c r="G94" s="2590">
        <f>1407.15+8494+6884+3632.57+16160.4+13729.18+3250.79+587.31+1109.32</f>
        <v>55254.720000000001</v>
      </c>
      <c r="H94" s="4455"/>
      <c r="I94" s="2588">
        <v>119946244</v>
      </c>
      <c r="J94" s="2588">
        <v>561340638</v>
      </c>
      <c r="K94" s="2588">
        <v>501587597</v>
      </c>
      <c r="L94" s="2588">
        <v>329380316</v>
      </c>
      <c r="M94" s="2588">
        <v>603767598</v>
      </c>
      <c r="N94" s="2588">
        <v>497973199</v>
      </c>
      <c r="O94" s="2588">
        <v>359619434</v>
      </c>
      <c r="P94" s="2588">
        <v>44674648</v>
      </c>
      <c r="Q94" s="2588">
        <v>225006312</v>
      </c>
      <c r="R94" s="3921" t="s">
        <v>223</v>
      </c>
      <c r="S94" s="4866" t="s">
        <v>66</v>
      </c>
      <c r="T94" s="3922">
        <v>1</v>
      </c>
      <c r="U94" s="4519">
        <v>39474</v>
      </c>
      <c r="V94" s="3923" t="s">
        <v>214</v>
      </c>
      <c r="W94" s="2239" t="s">
        <v>224</v>
      </c>
      <c r="X94" s="1734">
        <f t="shared" ca="1" si="9"/>
        <v>9.8972222222222221</v>
      </c>
      <c r="Y94" s="1347">
        <v>82</v>
      </c>
    </row>
    <row r="95" spans="1:25" ht="14.1" customHeight="1" x14ac:dyDescent="0.2">
      <c r="A95" s="1347"/>
      <c r="B95" s="2570" t="s">
        <v>1685</v>
      </c>
      <c r="C95" s="4786" t="s">
        <v>1171</v>
      </c>
      <c r="D95" s="4799" t="s">
        <v>40</v>
      </c>
      <c r="E95" s="3132" t="s">
        <v>2130</v>
      </c>
      <c r="F95" s="4452">
        <f t="shared" si="8"/>
        <v>158.25589592276671</v>
      </c>
      <c r="G95" s="2612">
        <f>3416+1905+2020+4303+4725+2057+2149+2112+2727</f>
        <v>25414</v>
      </c>
      <c r="H95" s="2025"/>
      <c r="I95" s="1747">
        <v>124488668</v>
      </c>
      <c r="J95" s="1747">
        <v>576594227</v>
      </c>
      <c r="K95" s="1747">
        <v>524106142</v>
      </c>
      <c r="L95" s="1747">
        <v>347561438</v>
      </c>
      <c r="M95" s="1747">
        <v>589635354</v>
      </c>
      <c r="N95" s="1747">
        <v>487438132</v>
      </c>
      <c r="O95" s="1747">
        <v>356859369</v>
      </c>
      <c r="P95" s="1747">
        <v>45347798</v>
      </c>
      <c r="Q95" s="1747">
        <v>214782981</v>
      </c>
      <c r="R95" s="2938" t="s">
        <v>329</v>
      </c>
      <c r="S95" s="4867" t="s">
        <v>330</v>
      </c>
      <c r="T95" s="2941">
        <v>1</v>
      </c>
      <c r="U95" s="2942">
        <v>40079</v>
      </c>
      <c r="V95" s="2945" t="s">
        <v>76</v>
      </c>
      <c r="W95" s="2946" t="s">
        <v>1172</v>
      </c>
      <c r="X95" s="1700">
        <f t="shared" ca="1" si="9"/>
        <v>8.2416666666666671</v>
      </c>
      <c r="Y95" s="1347"/>
    </row>
    <row r="96" spans="1:25" ht="14.1" customHeight="1" x14ac:dyDescent="0.25">
      <c r="A96" s="1347">
        <v>84</v>
      </c>
      <c r="B96" s="3916" t="s">
        <v>1685</v>
      </c>
      <c r="C96" s="4785" t="s">
        <v>260</v>
      </c>
      <c r="D96" s="3917"/>
      <c r="E96" s="3918" t="s">
        <v>2130</v>
      </c>
      <c r="F96" s="4453">
        <f t="shared" si="8"/>
        <v>158.79075538504091</v>
      </c>
      <c r="G96" s="4816">
        <f>3317+4714+4468+11823+4040+3582+8199+2807+12403</f>
        <v>55353</v>
      </c>
      <c r="H96" s="4831"/>
      <c r="I96" s="2588">
        <v>110726411</v>
      </c>
      <c r="J96" s="2588">
        <v>565485223</v>
      </c>
      <c r="K96" s="2588">
        <v>523186851</v>
      </c>
      <c r="L96" s="2588">
        <v>346035543</v>
      </c>
      <c r="M96" s="2588">
        <v>587418704</v>
      </c>
      <c r="N96" s="2588">
        <v>490568309</v>
      </c>
      <c r="O96" s="2588">
        <v>407512965</v>
      </c>
      <c r="P96" s="2588">
        <v>41401358</v>
      </c>
      <c r="Q96" s="2588">
        <v>256426381</v>
      </c>
      <c r="R96" s="3921" t="s">
        <v>261</v>
      </c>
      <c r="S96" s="4866" t="s">
        <v>66</v>
      </c>
      <c r="T96" s="3922">
        <v>1</v>
      </c>
      <c r="U96" s="4890">
        <v>34834</v>
      </c>
      <c r="V96" s="3923" t="s">
        <v>76</v>
      </c>
      <c r="W96" s="2239" t="s">
        <v>237</v>
      </c>
      <c r="X96" s="1734">
        <f t="shared" ca="1" si="9"/>
        <v>22.597222222222221</v>
      </c>
      <c r="Y96" s="1347">
        <v>84</v>
      </c>
    </row>
    <row r="97" spans="1:25" ht="14.1" customHeight="1" x14ac:dyDescent="0.25">
      <c r="A97" s="1347"/>
      <c r="B97" s="1710" t="s">
        <v>1685</v>
      </c>
      <c r="C97" s="1233" t="s">
        <v>2520</v>
      </c>
      <c r="D97" s="1678"/>
      <c r="E97" s="3132" t="s">
        <v>2130</v>
      </c>
      <c r="F97" s="4452">
        <f t="shared" si="8"/>
        <v>163.49829854788166</v>
      </c>
      <c r="G97" s="2612">
        <f>2983.6+5463+5207+7026.4+6067.1+4724+2807.5+1929.1+5151.8</f>
        <v>41359.5</v>
      </c>
      <c r="H97" s="2550"/>
      <c r="I97" s="1746">
        <v>132538731</v>
      </c>
      <c r="J97" s="1746">
        <v>530781641</v>
      </c>
      <c r="K97" s="1746">
        <v>490315825</v>
      </c>
      <c r="L97" s="1746">
        <v>315907212</v>
      </c>
      <c r="M97" s="1746">
        <v>595204788</v>
      </c>
      <c r="N97" s="1746">
        <v>483356583</v>
      </c>
      <c r="O97" s="1747">
        <v>354982445</v>
      </c>
      <c r="P97" s="1746">
        <v>56320558</v>
      </c>
      <c r="Q97" s="1746">
        <v>246811326</v>
      </c>
      <c r="R97" s="1448" t="s">
        <v>252</v>
      </c>
      <c r="S97" s="4865" t="s">
        <v>66</v>
      </c>
      <c r="T97" s="1449">
        <v>1</v>
      </c>
      <c r="U97" s="1450">
        <v>37573</v>
      </c>
      <c r="V97" s="2621" t="s">
        <v>253</v>
      </c>
      <c r="W97" s="1358" t="s">
        <v>254</v>
      </c>
      <c r="X97" s="1359">
        <f t="shared" ca="1" si="9"/>
        <v>15.102777777777778</v>
      </c>
      <c r="Y97" s="1347"/>
    </row>
    <row r="98" spans="1:25" ht="14.1" customHeight="1" x14ac:dyDescent="0.2">
      <c r="A98" s="1347">
        <v>86</v>
      </c>
      <c r="B98" s="1348" t="s">
        <v>1685</v>
      </c>
      <c r="C98" s="1429" t="s">
        <v>1687</v>
      </c>
      <c r="D98" s="1802" t="s">
        <v>40</v>
      </c>
      <c r="E98" s="2032" t="s">
        <v>2130</v>
      </c>
      <c r="F98" s="4452">
        <f t="shared" si="8"/>
        <v>171.85550003458809</v>
      </c>
      <c r="G98" s="2590">
        <f>5811.2+3700.9+4225.2+3600.8+4216.3+2682.1+5184.6+1926.3+5060.8</f>
        <v>36408.199999999997</v>
      </c>
      <c r="H98" s="4500"/>
      <c r="I98" s="4447">
        <v>128539026</v>
      </c>
      <c r="J98" s="4447">
        <v>588637996</v>
      </c>
      <c r="K98" s="4447">
        <v>541764121</v>
      </c>
      <c r="L98" s="4447">
        <v>366563709</v>
      </c>
      <c r="M98" s="4447">
        <v>585896715</v>
      </c>
      <c r="N98" s="4447">
        <v>493511765</v>
      </c>
      <c r="O98" s="4447">
        <v>424472843</v>
      </c>
      <c r="P98" s="4447">
        <v>48913789</v>
      </c>
      <c r="Q98" s="4447">
        <v>286298308</v>
      </c>
      <c r="R98" s="4448" t="s">
        <v>1175</v>
      </c>
      <c r="S98" s="4500" t="s">
        <v>66</v>
      </c>
      <c r="T98" s="4449">
        <v>1</v>
      </c>
      <c r="U98" s="4450">
        <v>39428</v>
      </c>
      <c r="V98" s="4902" t="s">
        <v>73</v>
      </c>
      <c r="W98" s="1679" t="s">
        <v>1065</v>
      </c>
      <c r="X98" s="1540">
        <f t="shared" ca="1" si="9"/>
        <v>10.022222222222222</v>
      </c>
      <c r="Y98" s="1347">
        <v>86</v>
      </c>
    </row>
    <row r="99" spans="1:25" ht="14.1" customHeight="1" x14ac:dyDescent="0.2">
      <c r="A99" s="1347"/>
      <c r="B99" s="133" t="s">
        <v>1685</v>
      </c>
      <c r="C99" s="4784" t="s">
        <v>1176</v>
      </c>
      <c r="D99" s="1349" t="s">
        <v>40</v>
      </c>
      <c r="E99" s="3132" t="s">
        <v>2130</v>
      </c>
      <c r="F99" s="4452">
        <f t="shared" si="8"/>
        <v>178.62570669925725</v>
      </c>
      <c r="G99" s="3132">
        <f>20205+0+0+36485+5865+4375+18126+12375+56889</f>
        <v>154320</v>
      </c>
      <c r="H99" s="2025"/>
      <c r="I99" s="1747">
        <v>134628502</v>
      </c>
      <c r="J99" s="1746">
        <v>616693624</v>
      </c>
      <c r="K99" s="1746">
        <v>548070630</v>
      </c>
      <c r="L99" s="1747">
        <v>373888974</v>
      </c>
      <c r="M99" s="1746">
        <v>637015996</v>
      </c>
      <c r="N99" s="1747">
        <v>523324280</v>
      </c>
      <c r="O99" s="1747">
        <v>428358375</v>
      </c>
      <c r="P99" s="1747">
        <v>53231417</v>
      </c>
      <c r="Q99" s="1747">
        <v>287206727</v>
      </c>
      <c r="R99" s="1448" t="s">
        <v>376</v>
      </c>
      <c r="S99" s="4865" t="s">
        <v>131</v>
      </c>
      <c r="T99" s="1449">
        <v>1</v>
      </c>
      <c r="U99" s="1450">
        <v>33453</v>
      </c>
      <c r="V99" s="4903" t="s">
        <v>1177</v>
      </c>
      <c r="W99" s="1358" t="s">
        <v>299</v>
      </c>
      <c r="X99" s="1359">
        <f t="shared" ca="1" si="9"/>
        <v>26.380555555555556</v>
      </c>
      <c r="Y99" s="1347"/>
    </row>
    <row r="100" spans="1:25" ht="14.1" customHeight="1" x14ac:dyDescent="0.2">
      <c r="A100" s="1347">
        <v>88</v>
      </c>
      <c r="B100" s="1348" t="s">
        <v>1685</v>
      </c>
      <c r="C100" s="3128" t="s">
        <v>2521</v>
      </c>
      <c r="D100" s="1802" t="s">
        <v>40</v>
      </c>
      <c r="E100" s="2032" t="s">
        <v>2130</v>
      </c>
      <c r="F100" s="4452">
        <f t="shared" si="8"/>
        <v>178.70553763511055</v>
      </c>
      <c r="G100" s="2590">
        <f>1262+4853+4618+2898+4629+4418+3738+557+3132</f>
        <v>30105</v>
      </c>
      <c r="H100" s="4500"/>
      <c r="I100" s="4447">
        <v>144036167</v>
      </c>
      <c r="J100" s="4447">
        <v>606851260</v>
      </c>
      <c r="K100" s="4447">
        <v>560338667</v>
      </c>
      <c r="L100" s="4447">
        <v>372362490</v>
      </c>
      <c r="M100" s="4447">
        <v>663242852</v>
      </c>
      <c r="N100" s="4447">
        <v>542650404</v>
      </c>
      <c r="O100" s="4447">
        <v>381673629</v>
      </c>
      <c r="P100" s="4447">
        <v>55507810</v>
      </c>
      <c r="Q100" s="4447">
        <v>265123921</v>
      </c>
      <c r="R100" s="4448" t="s">
        <v>1085</v>
      </c>
      <c r="S100" s="4500" t="s">
        <v>66</v>
      </c>
      <c r="T100" s="4449">
        <v>1</v>
      </c>
      <c r="U100" s="4450">
        <v>39441</v>
      </c>
      <c r="V100" s="4902" t="s">
        <v>73</v>
      </c>
      <c r="W100" s="1679" t="s">
        <v>1065</v>
      </c>
      <c r="X100" s="1540">
        <f t="shared" ca="1" si="9"/>
        <v>9.9861111111111107</v>
      </c>
      <c r="Y100" s="1347">
        <v>88</v>
      </c>
    </row>
    <row r="101" spans="1:25" ht="14.1" customHeight="1" x14ac:dyDescent="0.25">
      <c r="A101" s="1347"/>
      <c r="B101" s="4685" t="s">
        <v>1685</v>
      </c>
      <c r="C101" s="3948" t="s">
        <v>756</v>
      </c>
      <c r="D101" s="1939"/>
      <c r="E101" s="4489" t="s">
        <v>2130</v>
      </c>
      <c r="F101" s="4453">
        <f t="shared" si="8"/>
        <v>199.47596474080257</v>
      </c>
      <c r="G101" s="4815"/>
      <c r="H101" s="4490"/>
      <c r="I101" s="1746">
        <v>148786707</v>
      </c>
      <c r="J101" s="1746">
        <v>580158185</v>
      </c>
      <c r="K101" s="1746">
        <v>561167104</v>
      </c>
      <c r="L101" s="1746">
        <v>461773911</v>
      </c>
      <c r="M101" s="1746">
        <v>594293991</v>
      </c>
      <c r="N101" s="1746">
        <v>492148736</v>
      </c>
      <c r="O101" s="1747">
        <v>503796633</v>
      </c>
      <c r="P101" s="1746">
        <v>63491659</v>
      </c>
      <c r="Q101" s="1746">
        <v>378400336</v>
      </c>
      <c r="R101" s="4854" t="s">
        <v>255</v>
      </c>
      <c r="S101" s="4864" t="s">
        <v>131</v>
      </c>
      <c r="T101" s="4879">
        <v>1</v>
      </c>
      <c r="U101" s="4889">
        <v>32230</v>
      </c>
      <c r="V101" s="4901" t="s">
        <v>76</v>
      </c>
      <c r="W101" s="4913" t="s">
        <v>107</v>
      </c>
      <c r="X101" s="4920">
        <f t="shared" ca="1" si="9"/>
        <v>29.727777777777778</v>
      </c>
      <c r="Y101" s="1347"/>
    </row>
    <row r="102" spans="1:25" ht="14.1" customHeight="1" x14ac:dyDescent="0.2">
      <c r="A102" s="1347">
        <v>90</v>
      </c>
      <c r="B102" s="3384" t="s">
        <v>1685</v>
      </c>
      <c r="C102" s="4783" t="s">
        <v>710</v>
      </c>
      <c r="D102" s="3380" t="s">
        <v>40</v>
      </c>
      <c r="E102" s="4807" t="s">
        <v>2130</v>
      </c>
      <c r="F102" s="4452">
        <f t="shared" si="8"/>
        <v>230.67264974459749</v>
      </c>
      <c r="G102" s="4814"/>
      <c r="H102" s="4814"/>
      <c r="I102" s="2588">
        <v>175904392</v>
      </c>
      <c r="J102" s="2588">
        <v>669255479</v>
      </c>
      <c r="K102" s="2615">
        <v>624007746</v>
      </c>
      <c r="L102" s="2615">
        <v>482847137</v>
      </c>
      <c r="M102" s="2615">
        <v>667650771</v>
      </c>
      <c r="N102" s="2615">
        <v>548347945</v>
      </c>
      <c r="O102" s="2588">
        <v>581884317</v>
      </c>
      <c r="P102" s="2588">
        <v>79709522</v>
      </c>
      <c r="Q102" s="2615">
        <v>444760229</v>
      </c>
      <c r="R102" s="4853" t="s">
        <v>709</v>
      </c>
      <c r="S102" s="4863" t="s">
        <v>131</v>
      </c>
      <c r="T102" s="4878">
        <v>1</v>
      </c>
      <c r="U102" s="4888">
        <v>35103</v>
      </c>
      <c r="V102" s="4900" t="s">
        <v>240</v>
      </c>
      <c r="W102" s="4912" t="s">
        <v>106</v>
      </c>
      <c r="X102" s="4919">
        <f t="shared" ca="1" si="9"/>
        <v>21.866666666666667</v>
      </c>
      <c r="Y102" s="1347">
        <v>90</v>
      </c>
    </row>
    <row r="103" spans="1:25" ht="14.1" customHeight="1" x14ac:dyDescent="0.2">
      <c r="A103" s="1347"/>
      <c r="B103" s="4779" t="s">
        <v>1685</v>
      </c>
      <c r="C103" s="1236" t="s">
        <v>1178</v>
      </c>
      <c r="D103" s="1524" t="s">
        <v>40</v>
      </c>
      <c r="E103" s="4806" t="s">
        <v>2130</v>
      </c>
      <c r="F103" s="4452">
        <f t="shared" si="8"/>
        <v>234.79826040769814</v>
      </c>
      <c r="G103" s="2367">
        <f>2534+4790+4542+5435+4894+3843+4593+1590+7370</f>
        <v>39591</v>
      </c>
      <c r="H103" s="2369"/>
      <c r="I103" s="1747">
        <v>192604558</v>
      </c>
      <c r="J103" s="1747">
        <v>547979079</v>
      </c>
      <c r="K103" s="1747">
        <v>519165702</v>
      </c>
      <c r="L103" s="1747">
        <v>465972239</v>
      </c>
      <c r="M103" s="1747">
        <v>598915924</v>
      </c>
      <c r="N103" s="1747">
        <v>491138864</v>
      </c>
      <c r="O103" s="1747">
        <v>411050402</v>
      </c>
      <c r="P103" s="1747">
        <v>108722694</v>
      </c>
      <c r="Q103" s="1747">
        <v>521534210</v>
      </c>
      <c r="R103" s="2290" t="s">
        <v>1179</v>
      </c>
      <c r="S103" s="2914" t="s">
        <v>62</v>
      </c>
      <c r="T103" s="2294">
        <v>1</v>
      </c>
      <c r="U103" s="2296">
        <v>40853</v>
      </c>
      <c r="V103" s="2298" t="s">
        <v>417</v>
      </c>
      <c r="W103" s="2298" t="s">
        <v>254</v>
      </c>
      <c r="X103" s="4457">
        <f t="shared" ca="1" si="9"/>
        <v>6.1222222222222218</v>
      </c>
      <c r="Y103" s="1347"/>
    </row>
    <row r="104" spans="1:25" ht="14.1" customHeight="1" x14ac:dyDescent="0.2">
      <c r="A104" s="1347">
        <v>92</v>
      </c>
      <c r="B104" s="4778" t="s">
        <v>1685</v>
      </c>
      <c r="C104" s="2933" t="s">
        <v>2499</v>
      </c>
      <c r="D104" s="1666" t="s">
        <v>40</v>
      </c>
      <c r="E104" s="4805" t="s">
        <v>2130</v>
      </c>
      <c r="F104" s="4452">
        <f t="shared" si="8"/>
        <v>260.44928900932473</v>
      </c>
      <c r="G104" s="4813">
        <f>5671.33+16930.83+16156.74+10560+16005.4+9240.6+6738+1992.2+14460.5</f>
        <v>97755.6</v>
      </c>
      <c r="H104" s="4830"/>
      <c r="I104" s="2588">
        <v>224759394</v>
      </c>
      <c r="J104" s="2588">
        <v>621997574</v>
      </c>
      <c r="K104" s="2588">
        <v>591472562</v>
      </c>
      <c r="L104" s="2588">
        <v>520518888</v>
      </c>
      <c r="M104" s="4847">
        <v>617222333</v>
      </c>
      <c r="N104" s="2588">
        <v>505798727</v>
      </c>
      <c r="O104" s="2588">
        <v>595621980</v>
      </c>
      <c r="P104" s="2588">
        <v>103470260</v>
      </c>
      <c r="Q104" s="2588">
        <v>564381148</v>
      </c>
      <c r="R104" s="4852" t="s">
        <v>2498</v>
      </c>
      <c r="S104" s="4862" t="s">
        <v>62</v>
      </c>
      <c r="T104" s="4877">
        <v>1</v>
      </c>
      <c r="U104" s="4887">
        <v>42974</v>
      </c>
      <c r="V104" s="4899" t="s">
        <v>2443</v>
      </c>
      <c r="W104" s="4911" t="s">
        <v>404</v>
      </c>
      <c r="X104" s="4456">
        <f t="shared" ca="1" si="9"/>
        <v>0.31388888888888888</v>
      </c>
      <c r="Y104" s="1347">
        <v>92</v>
      </c>
    </row>
    <row r="105" spans="1:25" ht="14.1" customHeight="1" x14ac:dyDescent="0.2">
      <c r="A105" s="1347"/>
      <c r="B105" s="4486" t="s">
        <v>1685</v>
      </c>
      <c r="C105" s="4458" t="s">
        <v>2119</v>
      </c>
      <c r="D105" s="4459"/>
      <c r="E105" s="3456" t="s">
        <v>2130</v>
      </c>
      <c r="F105" s="4454"/>
      <c r="G105" s="3458">
        <f>13987</f>
        <v>13987</v>
      </c>
      <c r="H105" s="3459"/>
      <c r="I105" s="3459">
        <v>101186195</v>
      </c>
      <c r="J105" s="3459" t="s">
        <v>2191</v>
      </c>
      <c r="K105" s="3459" t="s">
        <v>445</v>
      </c>
      <c r="L105" s="3459" t="s">
        <v>445</v>
      </c>
      <c r="M105" s="3459" t="s">
        <v>445</v>
      </c>
      <c r="N105" s="3459" t="s">
        <v>445</v>
      </c>
      <c r="O105" s="3459" t="s">
        <v>445</v>
      </c>
      <c r="P105" s="3459" t="s">
        <v>445</v>
      </c>
      <c r="Q105" s="3459" t="s">
        <v>445</v>
      </c>
      <c r="R105" s="4460" t="s">
        <v>2120</v>
      </c>
      <c r="S105" s="4461" t="s">
        <v>62</v>
      </c>
      <c r="T105" s="4462">
        <v>1</v>
      </c>
      <c r="U105" s="4463">
        <v>42591</v>
      </c>
      <c r="V105" s="4464" t="s">
        <v>76</v>
      </c>
      <c r="W105" s="4464" t="s">
        <v>2121</v>
      </c>
      <c r="X105" s="1089">
        <f t="shared" ref="X105:X108" ca="1" si="10">YEARFRAC(U105,X$6)</f>
        <v>1.3638888888888889</v>
      </c>
      <c r="Y105" s="1347"/>
    </row>
    <row r="106" spans="1:25" ht="14.1" customHeight="1" x14ac:dyDescent="0.2">
      <c r="A106" s="1347">
        <v>94</v>
      </c>
      <c r="B106" s="4487" t="s">
        <v>1685</v>
      </c>
      <c r="C106" s="3374" t="s">
        <v>2655</v>
      </c>
      <c r="D106" s="4483" t="s">
        <v>40</v>
      </c>
      <c r="E106" s="4484" t="s">
        <v>2130</v>
      </c>
      <c r="F106" s="4452"/>
      <c r="G106" s="4465">
        <f>1218.65+2863.28+712.62+0+827.67+104.71+14983.18+281.26+0</f>
        <v>20991.37</v>
      </c>
      <c r="H106" s="4466"/>
      <c r="I106" s="4467">
        <v>137203571</v>
      </c>
      <c r="J106" s="4467">
        <v>563409083</v>
      </c>
      <c r="K106" s="4467">
        <v>506224168</v>
      </c>
      <c r="L106" s="4467" t="s">
        <v>2780</v>
      </c>
      <c r="M106" s="4467">
        <v>592809719</v>
      </c>
      <c r="N106" s="4467">
        <v>484412441</v>
      </c>
      <c r="O106" s="4468">
        <v>400857238</v>
      </c>
      <c r="P106" s="4467">
        <v>53261877</v>
      </c>
      <c r="Q106" s="4467" t="s">
        <v>2780</v>
      </c>
      <c r="R106" s="4469" t="s">
        <v>2657</v>
      </c>
      <c r="S106" s="4470" t="s">
        <v>66</v>
      </c>
      <c r="T106" s="4471">
        <v>1</v>
      </c>
      <c r="U106" s="4472">
        <v>36020</v>
      </c>
      <c r="V106" s="4473" t="s">
        <v>76</v>
      </c>
      <c r="W106" s="4474" t="s">
        <v>280</v>
      </c>
      <c r="X106" s="4475">
        <f t="shared" ca="1" si="10"/>
        <v>19.352777777777778</v>
      </c>
      <c r="Y106" s="1347">
        <v>94</v>
      </c>
    </row>
    <row r="107" spans="1:25" ht="14.1" customHeight="1" x14ac:dyDescent="0.2">
      <c r="A107" s="1347"/>
      <c r="B107" s="1112" t="s">
        <v>1685</v>
      </c>
      <c r="C107" s="1243" t="s">
        <v>2664</v>
      </c>
      <c r="D107" s="1965" t="s">
        <v>40</v>
      </c>
      <c r="E107" s="4485" t="s">
        <v>2130</v>
      </c>
      <c r="F107" s="4452"/>
      <c r="G107" s="4476">
        <f>4923.87+7255.78+4029.54+0+5020.3+1498.9+24012.15+1615.57</f>
        <v>48356.11</v>
      </c>
      <c r="H107" s="4477"/>
      <c r="I107" s="4478">
        <v>117491002</v>
      </c>
      <c r="J107" s="4478">
        <v>574829648</v>
      </c>
      <c r="K107" s="4478">
        <v>510742260</v>
      </c>
      <c r="L107" s="4478" t="s">
        <v>2780</v>
      </c>
      <c r="M107" s="4478">
        <v>595563690</v>
      </c>
      <c r="N107" s="4478">
        <v>494014967</v>
      </c>
      <c r="O107" s="3459">
        <v>404870676</v>
      </c>
      <c r="P107" s="4478">
        <v>43519078</v>
      </c>
      <c r="Q107" s="4478" t="s">
        <v>2780</v>
      </c>
      <c r="R107" s="4479" t="s">
        <v>2657</v>
      </c>
      <c r="S107" s="1100" t="s">
        <v>66</v>
      </c>
      <c r="T107" s="1102">
        <v>1</v>
      </c>
      <c r="U107" s="4480">
        <v>36025</v>
      </c>
      <c r="V107" s="4481" t="s">
        <v>76</v>
      </c>
      <c r="W107" s="4482" t="s">
        <v>280</v>
      </c>
      <c r="X107" s="1089">
        <f t="shared" ca="1" si="10"/>
        <v>19.338888888888889</v>
      </c>
      <c r="Y107" s="1347"/>
    </row>
    <row r="108" spans="1:25" ht="14.1" customHeight="1" thickBot="1" x14ac:dyDescent="0.25">
      <c r="A108" s="1347">
        <v>96</v>
      </c>
      <c r="B108" s="4488" t="s">
        <v>1685</v>
      </c>
      <c r="C108" s="3462" t="s">
        <v>1173</v>
      </c>
      <c r="D108" s="3463" t="s">
        <v>40</v>
      </c>
      <c r="E108" s="3464" t="s">
        <v>2130</v>
      </c>
      <c r="F108" s="3457"/>
      <c r="G108" s="3464">
        <f>22858+39843+9924+11536+13144+953+0+5527+2949</f>
        <v>106734</v>
      </c>
      <c r="H108" s="3461"/>
      <c r="I108" s="2228">
        <v>125350156</v>
      </c>
      <c r="J108" s="2228">
        <v>565390910</v>
      </c>
      <c r="K108" s="2228">
        <v>497972088</v>
      </c>
      <c r="L108" s="2228">
        <v>341824468</v>
      </c>
      <c r="M108" s="2228">
        <v>591991333</v>
      </c>
      <c r="N108" s="2228">
        <v>485343221</v>
      </c>
      <c r="O108" s="2228" t="s">
        <v>2658</v>
      </c>
      <c r="P108" s="2228">
        <v>45350678</v>
      </c>
      <c r="Q108" s="2228">
        <v>227866901</v>
      </c>
      <c r="R108" s="2229" t="s">
        <v>1174</v>
      </c>
      <c r="S108" s="3460" t="s">
        <v>66</v>
      </c>
      <c r="T108" s="2232">
        <v>1</v>
      </c>
      <c r="U108" s="2233">
        <v>41044</v>
      </c>
      <c r="V108" s="2236" t="s">
        <v>1155</v>
      </c>
      <c r="W108" s="2238" t="s">
        <v>148</v>
      </c>
      <c r="X108" s="2241">
        <f t="shared" ca="1" si="10"/>
        <v>5.5972222222222223</v>
      </c>
      <c r="Y108" s="1347">
        <v>96</v>
      </c>
    </row>
    <row r="109" spans="1:25" ht="12" customHeight="1" thickTop="1" x14ac:dyDescent="0.25">
      <c r="A109" s="79"/>
      <c r="Y109" s="79"/>
    </row>
    <row r="110" spans="1:25" ht="14.1" customHeight="1" x14ac:dyDescent="0.25">
      <c r="A110" s="79"/>
      <c r="C110" s="1201" t="s">
        <v>1518</v>
      </c>
      <c r="E110" s="3523" t="s">
        <v>1685</v>
      </c>
      <c r="F110" s="3915" t="s">
        <v>2767</v>
      </c>
      <c r="G110" s="3914"/>
      <c r="H110" s="477" t="s">
        <v>2768</v>
      </c>
      <c r="Y110" s="79"/>
    </row>
    <row r="111" spans="1:25" ht="14.1" customHeight="1" x14ac:dyDescent="0.25">
      <c r="A111" s="79"/>
      <c r="C111" s="1202" t="s">
        <v>1519</v>
      </c>
      <c r="E111" s="3523" t="s">
        <v>1685</v>
      </c>
      <c r="F111" s="141" t="s">
        <v>2740</v>
      </c>
      <c r="Y111" s="79"/>
    </row>
    <row r="112" spans="1:25" ht="14.1" customHeight="1" x14ac:dyDescent="0.25">
      <c r="A112" s="79"/>
      <c r="C112" s="1203" t="s">
        <v>1520</v>
      </c>
      <c r="E112" s="3523" t="s">
        <v>1685</v>
      </c>
      <c r="F112" s="1330" t="s">
        <v>2741</v>
      </c>
      <c r="Y112" s="79"/>
    </row>
    <row r="113" spans="1:25" ht="14.1" customHeight="1" x14ac:dyDescent="0.25">
      <c r="A113" s="79"/>
      <c r="C113" s="1204" t="s">
        <v>1521</v>
      </c>
      <c r="E113" s="3523" t="s">
        <v>1685</v>
      </c>
      <c r="F113" s="142" t="s">
        <v>2743</v>
      </c>
      <c r="Y113" s="79"/>
    </row>
    <row r="114" spans="1:25" ht="14.1" customHeight="1" x14ac:dyDescent="0.25">
      <c r="A114" s="79"/>
      <c r="C114" s="1205"/>
      <c r="E114" s="3523" t="s">
        <v>1685</v>
      </c>
      <c r="F114" s="140" t="s">
        <v>2739</v>
      </c>
      <c r="Y114" s="79"/>
    </row>
    <row r="115" spans="1:25" ht="12.75" hidden="1" customHeight="1" x14ac:dyDescent="0.25">
      <c r="A115" s="79">
        <v>46</v>
      </c>
      <c r="C115" s="142" t="s">
        <v>1055</v>
      </c>
      <c r="E115" s="3523" t="s">
        <v>1685</v>
      </c>
      <c r="F115" s="142" t="s">
        <v>2742</v>
      </c>
      <c r="Y115" s="79"/>
    </row>
    <row r="116" spans="1:25" ht="12.75" hidden="1" customHeight="1" x14ac:dyDescent="0.25">
      <c r="A116" s="79"/>
      <c r="C116" s="140" t="s">
        <v>1597</v>
      </c>
      <c r="Y116" s="79"/>
    </row>
    <row r="117" spans="1:25" ht="12.75" hidden="1" customHeight="1" x14ac:dyDescent="0.25">
      <c r="A117" s="79">
        <v>48</v>
      </c>
      <c r="Y117" s="79"/>
    </row>
    <row r="118" spans="1:25" ht="12.75" hidden="1" customHeight="1" x14ac:dyDescent="0.25">
      <c r="A118" s="79"/>
      <c r="Y118" s="79"/>
    </row>
    <row r="119" spans="1:25" ht="12.75" hidden="1" customHeight="1" x14ac:dyDescent="0.25">
      <c r="A119" s="79">
        <v>50</v>
      </c>
      <c r="Y119" s="79"/>
    </row>
    <row r="120" spans="1:25" ht="12.75" hidden="1" customHeight="1" x14ac:dyDescent="0.25">
      <c r="A120" s="79"/>
      <c r="Y120" s="79"/>
    </row>
    <row r="121" spans="1:25" ht="12.75" hidden="1" customHeight="1" x14ac:dyDescent="0.25">
      <c r="A121" s="79">
        <v>52</v>
      </c>
      <c r="Y121" s="79"/>
    </row>
    <row r="122" spans="1:25" ht="12.75" hidden="1" customHeight="1" x14ac:dyDescent="0.25">
      <c r="A122" s="79"/>
      <c r="Y122" s="79"/>
    </row>
    <row r="123" spans="1:25" ht="12.75" hidden="1" customHeight="1" x14ac:dyDescent="0.25">
      <c r="A123" s="79">
        <v>54</v>
      </c>
      <c r="Y123" s="79"/>
    </row>
    <row r="124" spans="1:25" ht="12.75" hidden="1" customHeight="1" x14ac:dyDescent="0.25">
      <c r="A124" s="79"/>
      <c r="Y124" s="79"/>
    </row>
    <row r="125" spans="1:25" ht="12.75" hidden="1" customHeight="1" x14ac:dyDescent="0.25">
      <c r="A125" s="79">
        <v>56</v>
      </c>
      <c r="Y125" s="79"/>
    </row>
    <row r="126" spans="1:25" ht="12.75" hidden="1" customHeight="1" x14ac:dyDescent="0.25">
      <c r="A126" s="79"/>
      <c r="Y126" s="79"/>
    </row>
    <row r="127" spans="1:25" ht="12.75" hidden="1" customHeight="1" x14ac:dyDescent="0.25">
      <c r="A127" s="79">
        <v>58</v>
      </c>
      <c r="Y127" s="79"/>
    </row>
    <row r="128" spans="1:25" ht="12.75" hidden="1" customHeight="1" x14ac:dyDescent="0.25">
      <c r="A128" s="79"/>
      <c r="Y128" s="79"/>
    </row>
    <row r="129" spans="1:25" ht="12.75" hidden="1" customHeight="1" x14ac:dyDescent="0.25">
      <c r="A129" s="79"/>
      <c r="Y129" s="79"/>
    </row>
    <row r="130" spans="1:25" ht="12.75" hidden="1" customHeight="1" x14ac:dyDescent="0.25">
      <c r="A130" s="79"/>
      <c r="Y130" s="79"/>
    </row>
    <row r="131" spans="1:25" ht="12.75" hidden="1" customHeight="1" x14ac:dyDescent="0.25">
      <c r="A131" s="79"/>
      <c r="Y131" s="79"/>
    </row>
    <row r="132" spans="1:25" ht="12.75" hidden="1" customHeight="1" x14ac:dyDescent="0.25">
      <c r="A132" s="79"/>
      <c r="Y132" s="79"/>
    </row>
    <row r="133" spans="1:25" ht="12.75" hidden="1" customHeight="1" x14ac:dyDescent="0.25">
      <c r="A133" s="79"/>
      <c r="Y133" s="79"/>
    </row>
    <row r="134" spans="1:25" ht="12.75" hidden="1" customHeight="1" x14ac:dyDescent="0.25">
      <c r="A134" s="79"/>
      <c r="Y134" s="79"/>
    </row>
    <row r="135" spans="1:25" ht="12.75" hidden="1" customHeight="1" x14ac:dyDescent="0.25">
      <c r="A135" s="79"/>
      <c r="Y135" s="79"/>
    </row>
    <row r="136" spans="1:25" ht="12.75" hidden="1" customHeight="1" x14ac:dyDescent="0.25">
      <c r="A136" s="79"/>
      <c r="Y136" s="79"/>
    </row>
    <row r="137" spans="1:25" ht="12.75" hidden="1" customHeight="1" x14ac:dyDescent="0.25">
      <c r="A137" s="79"/>
      <c r="Y137" s="79"/>
    </row>
    <row r="138" spans="1:25" ht="12.75" hidden="1" customHeight="1" x14ac:dyDescent="0.25">
      <c r="A138" s="79"/>
      <c r="Y138" s="79"/>
    </row>
    <row r="139" spans="1:25" ht="12.75" hidden="1" customHeight="1" x14ac:dyDescent="0.25">
      <c r="A139" s="79"/>
      <c r="Y139" s="79"/>
    </row>
    <row r="140" spans="1:25" ht="12.75" hidden="1" customHeight="1" x14ac:dyDescent="0.25">
      <c r="A140" s="79"/>
      <c r="Y140" s="79"/>
    </row>
    <row r="141" spans="1:25" ht="12.75" hidden="1" customHeight="1" x14ac:dyDescent="0.25">
      <c r="A141" s="79"/>
      <c r="Y141" s="79"/>
    </row>
    <row r="142" spans="1:25" ht="12.75" hidden="1" customHeight="1" x14ac:dyDescent="0.25">
      <c r="A142" s="79"/>
      <c r="Y142" s="79"/>
    </row>
    <row r="143" spans="1:25" ht="12.75" hidden="1" customHeight="1" x14ac:dyDescent="0.25">
      <c r="A143" s="79"/>
      <c r="Y143" s="79"/>
    </row>
    <row r="144" spans="1:25" ht="12.75" hidden="1" customHeight="1" x14ac:dyDescent="0.25">
      <c r="A144" s="79"/>
      <c r="Y144" s="79"/>
    </row>
    <row r="145" spans="1:25" ht="12.75" hidden="1" customHeight="1" x14ac:dyDescent="0.25"/>
    <row r="146" spans="1:25" ht="12.75" hidden="1" customHeight="1" x14ac:dyDescent="0.25">
      <c r="A146" s="79"/>
      <c r="Y146" s="79"/>
    </row>
    <row r="147" spans="1:25" ht="12.75" hidden="1" customHeight="1" x14ac:dyDescent="0.25"/>
    <row r="148" spans="1:25" ht="12.75" hidden="1" customHeight="1" x14ac:dyDescent="0.25">
      <c r="A148" s="79"/>
      <c r="Y148" s="79"/>
    </row>
    <row r="149" spans="1:25" ht="12.75" hidden="1" customHeight="1" x14ac:dyDescent="0.25"/>
    <row r="150" spans="1:25" ht="12.75" hidden="1" customHeight="1" x14ac:dyDescent="0.25">
      <c r="A150" s="79"/>
      <c r="Y150" s="79"/>
    </row>
    <row r="151" spans="1:25" ht="12.75" hidden="1" customHeight="1" x14ac:dyDescent="0.25">
      <c r="A151" s="79"/>
      <c r="Y151" s="79"/>
    </row>
    <row r="152" spans="1:25" ht="12.75" hidden="1" customHeight="1" x14ac:dyDescent="0.25">
      <c r="Y152" s="79"/>
    </row>
    <row r="153" spans="1:25" ht="12.75" hidden="1" customHeight="1" x14ac:dyDescent="0.25">
      <c r="A153" s="79"/>
      <c r="Y153" s="79"/>
    </row>
    <row r="154" spans="1:25" ht="12.75" hidden="1" customHeight="1" x14ac:dyDescent="0.25">
      <c r="Y154" s="79"/>
    </row>
    <row r="155" spans="1:25" ht="12.75" hidden="1" customHeight="1" x14ac:dyDescent="0.25">
      <c r="A155" s="79"/>
    </row>
    <row r="156" spans="1:25" ht="12.75" hidden="1" customHeight="1" x14ac:dyDescent="0.25">
      <c r="A156" s="79"/>
      <c r="Y156" s="79"/>
    </row>
    <row r="157" spans="1:25" ht="12.75" hidden="1" customHeight="1" x14ac:dyDescent="0.25">
      <c r="A157" s="79"/>
    </row>
    <row r="158" spans="1:25" ht="12.75" hidden="1" customHeight="1" x14ac:dyDescent="0.25">
      <c r="Y158" s="79"/>
    </row>
    <row r="159" spans="1:25" ht="12.75" hidden="1" customHeight="1" x14ac:dyDescent="0.25">
      <c r="A159" s="79"/>
      <c r="Y159" s="79"/>
    </row>
    <row r="160" spans="1:25" ht="12.75" hidden="1" customHeight="1" x14ac:dyDescent="0.25">
      <c r="A160" s="79"/>
      <c r="Y160" s="79"/>
    </row>
    <row r="161" spans="1:25" ht="12.75" hidden="1" customHeight="1" x14ac:dyDescent="0.25"/>
    <row r="162" spans="1:25" ht="12.75" hidden="1" customHeight="1" x14ac:dyDescent="0.25">
      <c r="A162" s="79"/>
      <c r="Y162" s="79"/>
    </row>
    <row r="163" spans="1:25" ht="12.75" hidden="1" customHeight="1" x14ac:dyDescent="0.25">
      <c r="A163" s="79"/>
      <c r="Y163" s="79"/>
    </row>
    <row r="164" spans="1:25" ht="12.75" hidden="1" customHeight="1" x14ac:dyDescent="0.25">
      <c r="A164" s="79"/>
      <c r="Y164" s="79"/>
    </row>
    <row r="165" spans="1:25" ht="12.75" hidden="1" customHeight="1" x14ac:dyDescent="0.25"/>
    <row r="166" spans="1:25" ht="12.75" hidden="1" customHeight="1" x14ac:dyDescent="0.25">
      <c r="A166" s="79"/>
      <c r="Y166" s="79"/>
    </row>
    <row r="167" spans="1:25" ht="12.75" customHeight="1" x14ac:dyDescent="0.25">
      <c r="E167" s="3523" t="s">
        <v>1685</v>
      </c>
      <c r="F167" s="142" t="s">
        <v>2742</v>
      </c>
    </row>
    <row r="168" spans="1:25" ht="12.75" customHeight="1" x14ac:dyDescent="0.25"/>
    <row r="169" spans="1:25" ht="12.75" customHeight="1" x14ac:dyDescent="0.25"/>
    <row r="170" spans="1:25" ht="12.75" customHeight="1" x14ac:dyDescent="0.25"/>
    <row r="171" spans="1:25" ht="12.75" customHeight="1" x14ac:dyDescent="0.25"/>
    <row r="172" spans="1:25" ht="12.75" customHeight="1" x14ac:dyDescent="0.25"/>
    <row r="173" spans="1:25" ht="12.75" customHeight="1" x14ac:dyDescent="0.25"/>
    <row r="174" spans="1:25" ht="12.75" customHeight="1" x14ac:dyDescent="0.25"/>
    <row r="175" spans="1:25" ht="12.75" customHeight="1" x14ac:dyDescent="0.25"/>
    <row r="176" spans="1:25" ht="12.75" customHeight="1" x14ac:dyDescent="0.25"/>
    <row r="177" ht="12.75" customHeight="1" x14ac:dyDescent="0.25"/>
    <row r="178" ht="12.75" customHeight="1" x14ac:dyDescent="0.25"/>
    <row r="179" ht="12.75" customHeight="1" x14ac:dyDescent="0.25"/>
    <row r="180" ht="12.75" customHeight="1" x14ac:dyDescent="0.25"/>
    <row r="181" ht="12.75" customHeight="1" x14ac:dyDescent="0.25"/>
    <row r="182" ht="12.75" customHeight="1" x14ac:dyDescent="0.25"/>
    <row r="183" ht="12.75" customHeight="1" x14ac:dyDescent="0.25"/>
    <row r="184" ht="12.75" customHeight="1" x14ac:dyDescent="0.25"/>
    <row r="185" ht="12.75" customHeight="1" x14ac:dyDescent="0.25"/>
    <row r="186" ht="12.75" customHeight="1" x14ac:dyDescent="0.25"/>
    <row r="187" ht="12.75" customHeight="1" x14ac:dyDescent="0.25"/>
    <row r="188" ht="12.75" customHeight="1" x14ac:dyDescent="0.25"/>
    <row r="189" ht="12.75" customHeight="1" x14ac:dyDescent="0.25"/>
    <row r="190" ht="12.75" customHeight="1" x14ac:dyDescent="0.25"/>
    <row r="191" ht="12.75" customHeight="1" x14ac:dyDescent="0.25"/>
    <row r="192" ht="12.75" customHeight="1" x14ac:dyDescent="0.25"/>
    <row r="193" ht="12.75" customHeight="1" x14ac:dyDescent="0.25"/>
    <row r="194" ht="12.75" customHeight="1" x14ac:dyDescent="0.25"/>
    <row r="195" ht="12.75" customHeight="1" x14ac:dyDescent="0.25"/>
    <row r="196" ht="12.75" customHeight="1" x14ac:dyDescent="0.25"/>
    <row r="197" ht="12.75" customHeight="1" x14ac:dyDescent="0.25"/>
    <row r="198" ht="12.75" customHeight="1" x14ac:dyDescent="0.25"/>
    <row r="199" ht="12.75" customHeight="1" x14ac:dyDescent="0.25"/>
    <row r="200" ht="12.75" customHeight="1" x14ac:dyDescent="0.25"/>
    <row r="201" ht="12.75" customHeight="1" x14ac:dyDescent="0.25"/>
    <row r="202" ht="12.75" customHeight="1" x14ac:dyDescent="0.25"/>
    <row r="203" ht="12.75" customHeight="1" x14ac:dyDescent="0.25"/>
    <row r="204" ht="12.75" customHeight="1" x14ac:dyDescent="0.25"/>
    <row r="205" ht="12.75" customHeight="1" x14ac:dyDescent="0.25"/>
    <row r="206" ht="12.75" customHeight="1" x14ac:dyDescent="0.25"/>
    <row r="207" ht="12.75" customHeight="1" x14ac:dyDescent="0.25"/>
    <row r="208" ht="12.75" customHeight="1" x14ac:dyDescent="0.25"/>
    <row r="209" ht="12.75" customHeight="1" x14ac:dyDescent="0.25"/>
    <row r="210" ht="12.75" customHeight="1" x14ac:dyDescent="0.25"/>
    <row r="211" ht="12.75" customHeight="1" x14ac:dyDescent="0.25"/>
    <row r="212" ht="12.75" customHeight="1" x14ac:dyDescent="0.25"/>
    <row r="213" ht="12.75" customHeight="1" x14ac:dyDescent="0.25"/>
    <row r="214" ht="12.75" customHeight="1" x14ac:dyDescent="0.25"/>
    <row r="215" ht="12.75" customHeight="1" x14ac:dyDescent="0.25"/>
    <row r="216" ht="12.75" customHeight="1" x14ac:dyDescent="0.25"/>
    <row r="217" ht="12.75" customHeight="1" x14ac:dyDescent="0.25"/>
    <row r="218" ht="12.75" customHeight="1" x14ac:dyDescent="0.25"/>
    <row r="219" ht="12.75" customHeight="1" x14ac:dyDescent="0.25"/>
    <row r="220" ht="12.75" customHeight="1" x14ac:dyDescent="0.25"/>
    <row r="221" ht="12.75" customHeight="1" x14ac:dyDescent="0.25"/>
    <row r="222" ht="12.75" customHeight="1" x14ac:dyDescent="0.25"/>
    <row r="223" ht="12.75" customHeight="1" x14ac:dyDescent="0.25"/>
    <row r="224" ht="12.75" customHeight="1" x14ac:dyDescent="0.25"/>
    <row r="225" ht="12.75" customHeight="1" x14ac:dyDescent="0.25"/>
    <row r="226" ht="12.75" customHeight="1" x14ac:dyDescent="0.25"/>
    <row r="227" ht="12.75" customHeight="1" x14ac:dyDescent="0.25"/>
    <row r="228" ht="12.75" customHeight="1" x14ac:dyDescent="0.25"/>
    <row r="229" ht="12.75" customHeight="1" x14ac:dyDescent="0.25"/>
    <row r="230" ht="12.75" customHeight="1" x14ac:dyDescent="0.25"/>
    <row r="231" ht="12.75" customHeight="1" x14ac:dyDescent="0.25"/>
    <row r="232" ht="12.75" customHeight="1" x14ac:dyDescent="0.25"/>
    <row r="233" ht="12.75" customHeight="1" x14ac:dyDescent="0.25"/>
    <row r="234" ht="12.75" customHeight="1" x14ac:dyDescent="0.25"/>
    <row r="235" ht="12.75" customHeight="1" x14ac:dyDescent="0.25"/>
    <row r="236" ht="12.75" customHeight="1" x14ac:dyDescent="0.25"/>
    <row r="237" ht="12.75" customHeight="1" x14ac:dyDescent="0.25"/>
    <row r="238" ht="12.75" customHeight="1" x14ac:dyDescent="0.25"/>
    <row r="239" ht="12.75" customHeight="1" x14ac:dyDescent="0.25"/>
    <row r="240" ht="12.75" customHeight="1" x14ac:dyDescent="0.25"/>
    <row r="241" ht="12.75" customHeight="1" x14ac:dyDescent="0.25"/>
    <row r="242" ht="12.75" customHeight="1" x14ac:dyDescent="0.25"/>
    <row r="243" ht="12.75" customHeight="1" x14ac:dyDescent="0.25"/>
    <row r="244" ht="12.75" customHeight="1" x14ac:dyDescent="0.25"/>
    <row r="245" ht="12.75" customHeight="1" x14ac:dyDescent="0.25"/>
    <row r="246" ht="12.75" customHeight="1" x14ac:dyDescent="0.25"/>
    <row r="247" ht="12.75" customHeight="1" x14ac:dyDescent="0.25"/>
    <row r="248" ht="12.75" customHeight="1" x14ac:dyDescent="0.25"/>
    <row r="249" ht="12.75" customHeight="1" x14ac:dyDescent="0.25"/>
    <row r="250" ht="12.75" customHeight="1" x14ac:dyDescent="0.25"/>
    <row r="251" ht="12.75" customHeight="1" x14ac:dyDescent="0.25"/>
    <row r="252" ht="12.75" customHeight="1" x14ac:dyDescent="0.25"/>
    <row r="253" ht="12.75" customHeight="1" x14ac:dyDescent="0.25"/>
    <row r="254" ht="12.75" customHeight="1" x14ac:dyDescent="0.25"/>
    <row r="255" ht="12.75" customHeight="1" x14ac:dyDescent="0.25"/>
    <row r="256" ht="12.75" customHeight="1" x14ac:dyDescent="0.25"/>
    <row r="257" ht="12.75" customHeight="1" x14ac:dyDescent="0.25"/>
    <row r="258" ht="12.75" customHeight="1" x14ac:dyDescent="0.25"/>
    <row r="259" ht="12.75" customHeight="1" x14ac:dyDescent="0.25"/>
    <row r="260" ht="12.75" customHeight="1" x14ac:dyDescent="0.25"/>
    <row r="261" ht="12.75" customHeight="1" x14ac:dyDescent="0.25"/>
    <row r="262" ht="12.75" customHeight="1" x14ac:dyDescent="0.25"/>
    <row r="263" ht="12.75" customHeight="1" x14ac:dyDescent="0.25"/>
    <row r="264" ht="12.75" customHeight="1" x14ac:dyDescent="0.25"/>
    <row r="265" ht="12.75" customHeight="1" x14ac:dyDescent="0.25"/>
    <row r="266" ht="12.75" customHeight="1" x14ac:dyDescent="0.25"/>
    <row r="267" ht="12.75" customHeight="1" x14ac:dyDescent="0.25"/>
    <row r="268" ht="12.75" customHeight="1" x14ac:dyDescent="0.25"/>
    <row r="269" ht="12.75" customHeight="1" x14ac:dyDescent="0.25"/>
    <row r="270" ht="12.75" customHeight="1" x14ac:dyDescent="0.25"/>
    <row r="271" ht="12.75" customHeight="1" x14ac:dyDescent="0.25"/>
    <row r="272" ht="12.75" customHeight="1" x14ac:dyDescent="0.25"/>
    <row r="273" ht="12.75" customHeight="1" x14ac:dyDescent="0.25"/>
    <row r="274" ht="12.75" customHeight="1" x14ac:dyDescent="0.25"/>
    <row r="275" ht="12.75" customHeight="1" x14ac:dyDescent="0.25"/>
    <row r="276" ht="12.75" customHeight="1" x14ac:dyDescent="0.25"/>
    <row r="277" ht="12.75" customHeight="1" x14ac:dyDescent="0.25"/>
    <row r="278" ht="12.75" customHeight="1" x14ac:dyDescent="0.25"/>
    <row r="279" ht="12.75" customHeight="1" x14ac:dyDescent="0.25"/>
    <row r="280" ht="12.75" customHeight="1" x14ac:dyDescent="0.25"/>
    <row r="281" ht="12.75" customHeight="1" x14ac:dyDescent="0.25"/>
    <row r="282" ht="12.75" customHeight="1" x14ac:dyDescent="0.25"/>
    <row r="283" ht="12.75" customHeight="1" x14ac:dyDescent="0.25"/>
    <row r="284" ht="12.75" customHeight="1" x14ac:dyDescent="0.25"/>
    <row r="285" ht="12.75" customHeight="1" x14ac:dyDescent="0.25"/>
    <row r="286" ht="12.75" customHeight="1" x14ac:dyDescent="0.25"/>
    <row r="287" ht="12.75" customHeight="1" x14ac:dyDescent="0.25"/>
    <row r="288" ht="12.75" customHeight="1" x14ac:dyDescent="0.25"/>
    <row r="289" ht="12.75" customHeight="1" x14ac:dyDescent="0.25"/>
    <row r="290" ht="12.75" customHeight="1" x14ac:dyDescent="0.25"/>
    <row r="291" ht="12.75" customHeight="1" x14ac:dyDescent="0.25"/>
    <row r="292" ht="12.75" customHeight="1" x14ac:dyDescent="0.25"/>
    <row r="293" ht="12.75" customHeight="1" x14ac:dyDescent="0.25"/>
    <row r="294" ht="12.75" customHeight="1" x14ac:dyDescent="0.25"/>
    <row r="295" ht="12.75" customHeight="1" x14ac:dyDescent="0.25"/>
    <row r="296" ht="12.75" customHeight="1" x14ac:dyDescent="0.25"/>
    <row r="297" ht="12.75" customHeight="1" x14ac:dyDescent="0.25"/>
    <row r="298" ht="12.75" customHeight="1" x14ac:dyDescent="0.25"/>
    <row r="299" ht="12.75" customHeight="1" x14ac:dyDescent="0.25"/>
    <row r="300" ht="12.75" customHeight="1" x14ac:dyDescent="0.25"/>
    <row r="301" ht="12.75" customHeight="1" x14ac:dyDescent="0.25"/>
    <row r="302" ht="12.75" customHeight="1" x14ac:dyDescent="0.25"/>
    <row r="303" ht="12.75" customHeight="1" x14ac:dyDescent="0.25"/>
    <row r="304" ht="12.75" customHeight="1" x14ac:dyDescent="0.25"/>
    <row r="305" ht="12.75" customHeight="1" x14ac:dyDescent="0.25"/>
    <row r="306" ht="12.75" customHeight="1" x14ac:dyDescent="0.25"/>
    <row r="307" ht="12.75" customHeight="1" x14ac:dyDescent="0.25"/>
    <row r="308" ht="12.75" customHeight="1" x14ac:dyDescent="0.25"/>
    <row r="309" ht="12.75" customHeight="1" x14ac:dyDescent="0.25"/>
    <row r="310" ht="12.75" customHeight="1" x14ac:dyDescent="0.25"/>
    <row r="311" ht="12.75" customHeight="1" x14ac:dyDescent="0.25"/>
    <row r="312" ht="12.75" customHeight="1" x14ac:dyDescent="0.25"/>
    <row r="313" ht="12.75" customHeight="1" x14ac:dyDescent="0.25"/>
    <row r="314" ht="12.75" customHeight="1" x14ac:dyDescent="0.25"/>
    <row r="315" ht="12.75" customHeight="1" x14ac:dyDescent="0.25"/>
    <row r="316" ht="12.75" customHeight="1" x14ac:dyDescent="0.25"/>
    <row r="317" ht="12.75" customHeight="1" x14ac:dyDescent="0.25"/>
    <row r="318" ht="12.75" customHeight="1" x14ac:dyDescent="0.25"/>
    <row r="319" ht="12.75" customHeight="1" x14ac:dyDescent="0.25"/>
    <row r="320" ht="12.75" customHeight="1" x14ac:dyDescent="0.25"/>
    <row r="321" ht="12.75" customHeight="1" x14ac:dyDescent="0.25"/>
    <row r="322" ht="12.75" customHeight="1" x14ac:dyDescent="0.25"/>
    <row r="323" ht="12.75" customHeight="1" x14ac:dyDescent="0.25"/>
    <row r="324" ht="12.75" customHeight="1" x14ac:dyDescent="0.25"/>
    <row r="325" ht="12.75" customHeight="1" x14ac:dyDescent="0.25"/>
    <row r="326" ht="12.75" customHeight="1" x14ac:dyDescent="0.25"/>
    <row r="327" ht="12.75" customHeight="1" x14ac:dyDescent="0.25"/>
    <row r="328" ht="12.75" customHeight="1" x14ac:dyDescent="0.25"/>
    <row r="329" ht="12.75" customHeight="1" x14ac:dyDescent="0.25"/>
    <row r="330" ht="12.75" customHeight="1" x14ac:dyDescent="0.25"/>
    <row r="331" ht="12.75" customHeight="1" x14ac:dyDescent="0.25"/>
    <row r="332" ht="12.75" customHeight="1" x14ac:dyDescent="0.25"/>
    <row r="333" ht="12.75" customHeight="1" x14ac:dyDescent="0.25"/>
    <row r="334" ht="12.75" customHeight="1" x14ac:dyDescent="0.25"/>
    <row r="335" ht="12.75" customHeight="1" x14ac:dyDescent="0.25"/>
    <row r="336" ht="12.75" customHeight="1" x14ac:dyDescent="0.25"/>
    <row r="337" ht="12.75" customHeight="1" x14ac:dyDescent="0.25"/>
    <row r="338" ht="12.75" customHeight="1" x14ac:dyDescent="0.25"/>
    <row r="339" ht="12.75" customHeight="1" x14ac:dyDescent="0.25"/>
    <row r="340" ht="12.75" customHeight="1" x14ac:dyDescent="0.25"/>
    <row r="341" ht="12.75" customHeight="1" x14ac:dyDescent="0.25"/>
    <row r="342" ht="12.75" customHeight="1" x14ac:dyDescent="0.25"/>
    <row r="343" ht="12.75" customHeight="1" x14ac:dyDescent="0.25"/>
    <row r="344" ht="12.75" customHeight="1" x14ac:dyDescent="0.25"/>
    <row r="345" ht="12.75" customHeight="1" x14ac:dyDescent="0.25"/>
    <row r="346" ht="12.75" customHeight="1" x14ac:dyDescent="0.25"/>
    <row r="347" ht="12.75" customHeight="1" x14ac:dyDescent="0.25"/>
    <row r="348" ht="12.75" customHeight="1" x14ac:dyDescent="0.25"/>
    <row r="349" ht="12.75" customHeight="1" x14ac:dyDescent="0.25"/>
    <row r="350" ht="12.75" customHeight="1" x14ac:dyDescent="0.25"/>
    <row r="351" ht="12.75" customHeight="1" x14ac:dyDescent="0.25"/>
    <row r="352" ht="12.75" customHeight="1" x14ac:dyDescent="0.25"/>
    <row r="353" ht="12.75" customHeight="1" x14ac:dyDescent="0.25"/>
    <row r="354" ht="12.75" customHeight="1" x14ac:dyDescent="0.25"/>
    <row r="355" ht="12.75" customHeight="1" x14ac:dyDescent="0.25"/>
    <row r="356" ht="12.75" customHeight="1" x14ac:dyDescent="0.25"/>
    <row r="357" ht="12.75" customHeight="1" x14ac:dyDescent="0.25"/>
    <row r="358" ht="12.75" customHeight="1" x14ac:dyDescent="0.25"/>
    <row r="359" ht="12.75" customHeight="1" x14ac:dyDescent="0.25"/>
    <row r="360" ht="12.75" customHeight="1" x14ac:dyDescent="0.25"/>
    <row r="361" ht="12.75" customHeight="1" x14ac:dyDescent="0.25"/>
    <row r="362" ht="12.75" customHeight="1" x14ac:dyDescent="0.25"/>
    <row r="363" ht="12.75" customHeight="1" x14ac:dyDescent="0.25"/>
    <row r="364" ht="12.75" customHeight="1" x14ac:dyDescent="0.25"/>
    <row r="365" ht="12.75" customHeight="1" x14ac:dyDescent="0.25"/>
    <row r="366" ht="12.75" customHeight="1" x14ac:dyDescent="0.25"/>
    <row r="367" ht="12.75" customHeight="1" x14ac:dyDescent="0.25"/>
    <row r="368" ht="12.75" customHeight="1" x14ac:dyDescent="0.25"/>
    <row r="369" ht="12.75" customHeight="1" x14ac:dyDescent="0.25"/>
    <row r="370" ht="12.75" customHeight="1" x14ac:dyDescent="0.25"/>
    <row r="371" ht="12.75" customHeight="1" x14ac:dyDescent="0.25"/>
    <row r="372" ht="12.75" customHeight="1" x14ac:dyDescent="0.25"/>
    <row r="373" ht="12.75" customHeight="1" x14ac:dyDescent="0.25"/>
    <row r="374" ht="12.75" customHeight="1" x14ac:dyDescent="0.25"/>
    <row r="375" ht="12.75" customHeight="1" x14ac:dyDescent="0.25"/>
    <row r="376" ht="12.75" customHeight="1" x14ac:dyDescent="0.25"/>
    <row r="377" ht="12.75" customHeight="1" x14ac:dyDescent="0.25"/>
    <row r="378" ht="12.75" customHeight="1" x14ac:dyDescent="0.25"/>
    <row r="379" ht="12.75" customHeight="1" x14ac:dyDescent="0.25"/>
    <row r="380" ht="12.75" customHeight="1" x14ac:dyDescent="0.25"/>
    <row r="381" ht="12.75" customHeight="1" x14ac:dyDescent="0.25"/>
    <row r="382" ht="12.75" customHeight="1" x14ac:dyDescent="0.25"/>
    <row r="383" ht="12.75" customHeight="1" x14ac:dyDescent="0.25"/>
    <row r="384" ht="12.75" customHeight="1" x14ac:dyDescent="0.25"/>
    <row r="385" ht="12.75" customHeight="1" x14ac:dyDescent="0.25"/>
    <row r="386" ht="12.75" customHeight="1" x14ac:dyDescent="0.25"/>
    <row r="387" ht="12.75" customHeight="1" x14ac:dyDescent="0.25"/>
    <row r="388" ht="12.75" customHeight="1" x14ac:dyDescent="0.25"/>
    <row r="389" ht="12.75" customHeight="1" x14ac:dyDescent="0.25"/>
    <row r="390" ht="12.75" customHeight="1" x14ac:dyDescent="0.25"/>
    <row r="391" ht="12.75" customHeight="1" x14ac:dyDescent="0.25"/>
    <row r="392" ht="12.75" customHeight="1" x14ac:dyDescent="0.25"/>
    <row r="393" ht="12.75" customHeight="1" x14ac:dyDescent="0.25"/>
    <row r="394" ht="12.75" customHeight="1" x14ac:dyDescent="0.25"/>
    <row r="395" ht="12.75" customHeight="1" x14ac:dyDescent="0.25"/>
    <row r="396" ht="12.75" customHeight="1" x14ac:dyDescent="0.25"/>
    <row r="397" ht="12.75" customHeight="1" x14ac:dyDescent="0.25"/>
    <row r="398" ht="12.75" customHeight="1" x14ac:dyDescent="0.25"/>
    <row r="399" ht="12.75" customHeight="1" x14ac:dyDescent="0.25"/>
    <row r="400" ht="12.75" customHeight="1" x14ac:dyDescent="0.25"/>
    <row r="401" ht="12.75" customHeight="1" x14ac:dyDescent="0.25"/>
    <row r="402" ht="12.75" customHeight="1" x14ac:dyDescent="0.25"/>
    <row r="403" ht="12.75" customHeight="1" x14ac:dyDescent="0.25"/>
    <row r="404" ht="12.75" customHeight="1" x14ac:dyDescent="0.25"/>
    <row r="405" ht="12.75" customHeight="1" x14ac:dyDescent="0.25"/>
    <row r="406" ht="12.75" customHeight="1" x14ac:dyDescent="0.25"/>
    <row r="407" ht="12.75" customHeight="1" x14ac:dyDescent="0.25"/>
    <row r="408" ht="12.75" customHeight="1" x14ac:dyDescent="0.25"/>
    <row r="409" ht="12.75" customHeight="1" x14ac:dyDescent="0.25"/>
    <row r="410" ht="12.75" customHeight="1" x14ac:dyDescent="0.25"/>
    <row r="411" ht="12.75" customHeight="1" x14ac:dyDescent="0.25"/>
    <row r="412" ht="12.75" customHeight="1" x14ac:dyDescent="0.25"/>
    <row r="413" ht="12.75" customHeight="1" x14ac:dyDescent="0.25"/>
    <row r="414" ht="12.75" customHeight="1" x14ac:dyDescent="0.25"/>
    <row r="415" ht="12.75" customHeight="1" x14ac:dyDescent="0.25"/>
    <row r="416" ht="12.75" customHeight="1" x14ac:dyDescent="0.25"/>
    <row r="417" ht="12.75" customHeight="1" x14ac:dyDescent="0.25"/>
    <row r="418" ht="12.75" customHeight="1" x14ac:dyDescent="0.25"/>
    <row r="419" ht="12.75" customHeight="1" x14ac:dyDescent="0.25"/>
    <row r="420" ht="12.75" customHeight="1" x14ac:dyDescent="0.25"/>
    <row r="421" ht="12.75" customHeight="1" x14ac:dyDescent="0.25"/>
    <row r="422" ht="12.75" customHeight="1" x14ac:dyDescent="0.25"/>
    <row r="423" ht="12.75" customHeight="1" x14ac:dyDescent="0.25"/>
    <row r="424" ht="12.75" customHeight="1" x14ac:dyDescent="0.25"/>
    <row r="425" ht="12.75" customHeight="1" x14ac:dyDescent="0.25"/>
    <row r="426" ht="12.75" customHeight="1" x14ac:dyDescent="0.25"/>
    <row r="427" ht="12.75" customHeight="1" x14ac:dyDescent="0.25"/>
    <row r="428" ht="12.75" customHeight="1" x14ac:dyDescent="0.25"/>
    <row r="429" ht="12.75" customHeight="1" x14ac:dyDescent="0.25"/>
    <row r="430" ht="12.75" customHeight="1" x14ac:dyDescent="0.25"/>
    <row r="431" ht="12.75" customHeight="1" x14ac:dyDescent="0.25"/>
    <row r="432" ht="12.75" customHeight="1" x14ac:dyDescent="0.25"/>
    <row r="433" ht="12.75" customHeight="1" x14ac:dyDescent="0.25"/>
    <row r="434" ht="12.75" customHeight="1" x14ac:dyDescent="0.25"/>
    <row r="435" ht="12.75" customHeight="1" x14ac:dyDescent="0.25"/>
    <row r="436" ht="12.75" customHeight="1" x14ac:dyDescent="0.25"/>
    <row r="437" ht="12.75" customHeight="1" x14ac:dyDescent="0.25"/>
    <row r="438" ht="12.75" customHeight="1" x14ac:dyDescent="0.25"/>
    <row r="439" ht="12.75" customHeight="1" x14ac:dyDescent="0.25"/>
    <row r="440" ht="12.75" customHeight="1" x14ac:dyDescent="0.25"/>
    <row r="441" ht="12.75" customHeight="1" x14ac:dyDescent="0.25"/>
    <row r="442" ht="12.75" customHeight="1" x14ac:dyDescent="0.25"/>
    <row r="443" ht="12.75" customHeight="1" x14ac:dyDescent="0.25"/>
    <row r="444" ht="12.75" customHeight="1" x14ac:dyDescent="0.25"/>
    <row r="445" ht="12.75" customHeight="1" x14ac:dyDescent="0.25"/>
    <row r="446" ht="12.75" customHeight="1" x14ac:dyDescent="0.25"/>
    <row r="447" ht="12.75" customHeight="1" x14ac:dyDescent="0.25"/>
    <row r="448" ht="12.75" customHeight="1" x14ac:dyDescent="0.25"/>
    <row r="449" ht="12.75" customHeight="1" x14ac:dyDescent="0.25"/>
    <row r="450" ht="12.75" customHeight="1" x14ac:dyDescent="0.25"/>
    <row r="451" ht="12.75" customHeight="1" x14ac:dyDescent="0.25"/>
    <row r="452" ht="12.75" customHeight="1" x14ac:dyDescent="0.25"/>
    <row r="453" ht="12.75" customHeight="1" x14ac:dyDescent="0.25"/>
    <row r="454" ht="12.75" customHeight="1" x14ac:dyDescent="0.25"/>
    <row r="455" ht="12.75" customHeight="1" x14ac:dyDescent="0.25"/>
    <row r="456" ht="12.75" customHeight="1" x14ac:dyDescent="0.25"/>
    <row r="457" ht="12.75" customHeight="1" x14ac:dyDescent="0.25"/>
    <row r="458" ht="12.75" customHeight="1" x14ac:dyDescent="0.25"/>
    <row r="459" ht="12.75" customHeight="1" x14ac:dyDescent="0.25"/>
    <row r="460" ht="12.75" customHeight="1" x14ac:dyDescent="0.25"/>
    <row r="461" ht="12.75" customHeight="1" x14ac:dyDescent="0.25"/>
    <row r="462" ht="12.75" customHeight="1" x14ac:dyDescent="0.25"/>
    <row r="463" ht="12.75" customHeight="1" x14ac:dyDescent="0.25"/>
    <row r="464" ht="12.75" customHeight="1" x14ac:dyDescent="0.25"/>
    <row r="465" ht="12.75" customHeight="1" x14ac:dyDescent="0.25"/>
    <row r="466" ht="12.75" customHeight="1" x14ac:dyDescent="0.25"/>
    <row r="467" ht="12.75" customHeight="1" x14ac:dyDescent="0.25"/>
    <row r="468" ht="12.75" customHeight="1" x14ac:dyDescent="0.25"/>
    <row r="469" ht="12.75" customHeight="1" x14ac:dyDescent="0.25"/>
    <row r="470" ht="12.75" customHeight="1" x14ac:dyDescent="0.25"/>
    <row r="471" ht="12.75" customHeight="1" x14ac:dyDescent="0.25"/>
    <row r="472" ht="12.75" customHeight="1" x14ac:dyDescent="0.25"/>
    <row r="473" ht="12.75" customHeight="1" x14ac:dyDescent="0.25"/>
    <row r="474" ht="12.75" customHeight="1" x14ac:dyDescent="0.25"/>
    <row r="475" ht="12.75" customHeight="1" x14ac:dyDescent="0.25"/>
    <row r="476" ht="12.75" customHeight="1" x14ac:dyDescent="0.25"/>
    <row r="477" ht="12.75" customHeight="1" x14ac:dyDescent="0.25"/>
    <row r="478" ht="12.75" customHeight="1" x14ac:dyDescent="0.25"/>
    <row r="479" ht="12.75" customHeight="1" x14ac:dyDescent="0.25"/>
    <row r="480" ht="12.75" customHeight="1" x14ac:dyDescent="0.25"/>
    <row r="481" ht="12.75" customHeight="1" x14ac:dyDescent="0.25"/>
    <row r="482" ht="12.75" customHeight="1" x14ac:dyDescent="0.25"/>
    <row r="483" ht="12.75" customHeight="1" x14ac:dyDescent="0.25"/>
    <row r="484" ht="12.75" customHeight="1" x14ac:dyDescent="0.25"/>
    <row r="485" ht="12.75" customHeight="1" x14ac:dyDescent="0.25"/>
    <row r="486" ht="12.75" customHeight="1" x14ac:dyDescent="0.25"/>
    <row r="487" ht="12.75" customHeight="1" x14ac:dyDescent="0.25"/>
    <row r="488" ht="12.75" customHeight="1" x14ac:dyDescent="0.25"/>
    <row r="489" ht="12.75" customHeight="1" x14ac:dyDescent="0.25"/>
    <row r="490" ht="12.75" customHeight="1" x14ac:dyDescent="0.25"/>
    <row r="491" ht="12.75" customHeight="1" x14ac:dyDescent="0.25"/>
    <row r="492" ht="12.75" customHeight="1" x14ac:dyDescent="0.25"/>
    <row r="493" ht="12.75" customHeight="1" x14ac:dyDescent="0.25"/>
    <row r="494" ht="12.75" customHeight="1" x14ac:dyDescent="0.25"/>
    <row r="495" ht="12.75" customHeight="1" x14ac:dyDescent="0.25"/>
    <row r="496" ht="12.75" customHeight="1" x14ac:dyDescent="0.25"/>
    <row r="497" ht="12.75" customHeight="1" x14ac:dyDescent="0.25"/>
    <row r="498" ht="12.75" customHeight="1" x14ac:dyDescent="0.25"/>
    <row r="499" ht="12.75" customHeight="1" x14ac:dyDescent="0.25"/>
    <row r="500" ht="12.75" customHeight="1" x14ac:dyDescent="0.25"/>
    <row r="501" ht="12.75" customHeight="1" x14ac:dyDescent="0.25"/>
    <row r="502" ht="12.75" customHeight="1" x14ac:dyDescent="0.25"/>
    <row r="503" ht="12.75" customHeight="1" x14ac:dyDescent="0.25"/>
    <row r="504" ht="12.75" customHeight="1" x14ac:dyDescent="0.25"/>
    <row r="505" ht="12.75" customHeight="1" x14ac:dyDescent="0.25"/>
    <row r="506" ht="12.75" customHeight="1" x14ac:dyDescent="0.25"/>
    <row r="507" ht="12.75" customHeight="1" x14ac:dyDescent="0.25"/>
    <row r="508" ht="12.75" customHeight="1" x14ac:dyDescent="0.25"/>
    <row r="509" ht="12.75" customHeight="1" x14ac:dyDescent="0.25"/>
    <row r="510" ht="12.75" customHeight="1" x14ac:dyDescent="0.25"/>
    <row r="511" ht="12.75" customHeight="1" x14ac:dyDescent="0.25"/>
    <row r="512" ht="12.75" customHeight="1" x14ac:dyDescent="0.25"/>
    <row r="513" ht="12.75" customHeight="1" x14ac:dyDescent="0.25"/>
    <row r="514" ht="12.75" customHeight="1" x14ac:dyDescent="0.25"/>
    <row r="515" ht="12.75" customHeight="1" x14ac:dyDescent="0.25"/>
    <row r="516" ht="12.75" customHeight="1" x14ac:dyDescent="0.25"/>
    <row r="517" ht="12.75" customHeight="1" x14ac:dyDescent="0.25"/>
    <row r="518" ht="12.75" customHeight="1" x14ac:dyDescent="0.25"/>
    <row r="519" ht="12.75" customHeight="1" x14ac:dyDescent="0.25"/>
    <row r="520" ht="12.75" customHeight="1" x14ac:dyDescent="0.25"/>
    <row r="521" ht="12.75" customHeight="1" x14ac:dyDescent="0.25"/>
    <row r="522" ht="12.75" customHeight="1" x14ac:dyDescent="0.25"/>
    <row r="523" ht="12.75" customHeight="1" x14ac:dyDescent="0.25"/>
    <row r="524" ht="12.75" customHeight="1" x14ac:dyDescent="0.25"/>
    <row r="525" ht="12.75" customHeight="1" x14ac:dyDescent="0.25"/>
    <row r="526" ht="12.75" customHeight="1" x14ac:dyDescent="0.25"/>
    <row r="527" ht="12.75" customHeight="1" x14ac:dyDescent="0.25"/>
    <row r="528" ht="12.75" customHeight="1" x14ac:dyDescent="0.25"/>
    <row r="529" ht="12.75" customHeight="1" x14ac:dyDescent="0.25"/>
    <row r="530" ht="12.75" customHeight="1" x14ac:dyDescent="0.25"/>
    <row r="531" ht="12.75" customHeight="1" x14ac:dyDescent="0.25"/>
    <row r="532" ht="12.75" customHeight="1" x14ac:dyDescent="0.25"/>
    <row r="533" ht="12.75" customHeight="1" x14ac:dyDescent="0.25"/>
    <row r="534" ht="12.75" customHeight="1" x14ac:dyDescent="0.25"/>
    <row r="535" ht="12.75" customHeight="1" x14ac:dyDescent="0.25"/>
    <row r="536" ht="12.75" customHeight="1" x14ac:dyDescent="0.25"/>
    <row r="537" ht="12.75" customHeight="1" x14ac:dyDescent="0.25"/>
    <row r="538" ht="12.75" customHeight="1" x14ac:dyDescent="0.25"/>
    <row r="539" ht="12.75" customHeight="1" x14ac:dyDescent="0.25"/>
    <row r="540" ht="12.75" customHeight="1" x14ac:dyDescent="0.25"/>
    <row r="541" ht="12.75" customHeight="1" x14ac:dyDescent="0.25"/>
    <row r="542" ht="12.75" customHeight="1" x14ac:dyDescent="0.25"/>
    <row r="543" ht="12.75" customHeight="1" x14ac:dyDescent="0.25"/>
    <row r="544" ht="12.75" customHeight="1" x14ac:dyDescent="0.25"/>
    <row r="545" ht="12.75" customHeight="1" x14ac:dyDescent="0.25"/>
    <row r="546" ht="12.75" customHeight="1" x14ac:dyDescent="0.25"/>
    <row r="547" ht="12.75" customHeight="1" x14ac:dyDescent="0.25"/>
    <row r="548" ht="12.75" customHeight="1" x14ac:dyDescent="0.25"/>
    <row r="549" ht="12.75" customHeight="1" x14ac:dyDescent="0.25"/>
    <row r="550" ht="12.75" customHeight="1" x14ac:dyDescent="0.25"/>
    <row r="551" ht="12.75" customHeight="1" x14ac:dyDescent="0.25"/>
    <row r="552" ht="12.75" customHeight="1" x14ac:dyDescent="0.25"/>
    <row r="553" ht="12.75" customHeight="1" x14ac:dyDescent="0.25"/>
    <row r="554" ht="12.75" customHeight="1" x14ac:dyDescent="0.25"/>
    <row r="555" ht="12.75" customHeight="1" x14ac:dyDescent="0.25"/>
    <row r="556" ht="12.75" customHeight="1" x14ac:dyDescent="0.25"/>
    <row r="557" ht="12.75" customHeight="1" x14ac:dyDescent="0.25"/>
    <row r="558" ht="12.75" customHeight="1" x14ac:dyDescent="0.25"/>
    <row r="559" ht="12.75" customHeight="1" x14ac:dyDescent="0.25"/>
    <row r="560" ht="12.75" customHeight="1" x14ac:dyDescent="0.25"/>
    <row r="561" ht="12.75" customHeight="1" x14ac:dyDescent="0.25"/>
    <row r="562" ht="12.75" customHeight="1" x14ac:dyDescent="0.25"/>
    <row r="563" ht="12.75" customHeight="1" x14ac:dyDescent="0.25"/>
    <row r="564" ht="12.75" customHeight="1" x14ac:dyDescent="0.25"/>
    <row r="565" ht="12.75" customHeight="1" x14ac:dyDescent="0.25"/>
    <row r="566" ht="12.75" customHeight="1" x14ac:dyDescent="0.25"/>
    <row r="567" ht="12.75" customHeight="1" x14ac:dyDescent="0.25"/>
    <row r="568" ht="12.75" customHeight="1" x14ac:dyDescent="0.25"/>
    <row r="569" ht="12.75" customHeight="1" x14ac:dyDescent="0.25"/>
    <row r="570" ht="12.75" customHeight="1" x14ac:dyDescent="0.25"/>
    <row r="571" ht="12.75" customHeight="1" x14ac:dyDescent="0.25"/>
    <row r="572" ht="12.75" customHeight="1" x14ac:dyDescent="0.25"/>
    <row r="573" ht="12.75" customHeight="1" x14ac:dyDescent="0.25"/>
    <row r="574" ht="12.75" customHeight="1" x14ac:dyDescent="0.25"/>
    <row r="575" ht="12.75" customHeight="1" x14ac:dyDescent="0.25"/>
    <row r="576" ht="12.75" customHeight="1" x14ac:dyDescent="0.25"/>
    <row r="577" ht="12.75" customHeight="1" x14ac:dyDescent="0.25"/>
    <row r="578" ht="12.75" customHeight="1" x14ac:dyDescent="0.25"/>
    <row r="579" ht="12.75" customHeight="1" x14ac:dyDescent="0.25"/>
    <row r="580" ht="12.75" customHeight="1" x14ac:dyDescent="0.25"/>
    <row r="581" ht="12.75" customHeight="1" x14ac:dyDescent="0.25"/>
    <row r="582" ht="12.75" customHeight="1" x14ac:dyDescent="0.25"/>
    <row r="583" ht="12.75" customHeight="1" x14ac:dyDescent="0.25"/>
    <row r="584" ht="12.75" customHeight="1" x14ac:dyDescent="0.25"/>
    <row r="585" ht="12.75" customHeight="1" x14ac:dyDescent="0.25"/>
    <row r="586" ht="12.75" customHeight="1" x14ac:dyDescent="0.25"/>
    <row r="587" ht="12.75" customHeight="1" x14ac:dyDescent="0.25"/>
    <row r="588" ht="12.75" customHeight="1" x14ac:dyDescent="0.25"/>
    <row r="589" ht="12.75" customHeight="1" x14ac:dyDescent="0.25"/>
    <row r="590" ht="12.75" customHeight="1" x14ac:dyDescent="0.25"/>
    <row r="591" ht="12.75" customHeight="1" x14ac:dyDescent="0.25"/>
    <row r="592" ht="12.75" customHeight="1" x14ac:dyDescent="0.25"/>
    <row r="593" ht="12.75" customHeight="1" x14ac:dyDescent="0.25"/>
    <row r="594" ht="12.75" customHeight="1" x14ac:dyDescent="0.25"/>
    <row r="595" ht="12.75" customHeight="1" x14ac:dyDescent="0.25"/>
    <row r="596" ht="12.75" customHeight="1" x14ac:dyDescent="0.25"/>
    <row r="597" ht="12.75" customHeight="1" x14ac:dyDescent="0.25"/>
    <row r="598" ht="12.75" customHeight="1" x14ac:dyDescent="0.25"/>
    <row r="599" ht="12.75" customHeight="1" x14ac:dyDescent="0.25"/>
    <row r="600" ht="12.75" customHeight="1" x14ac:dyDescent="0.25"/>
    <row r="601" ht="12.75" customHeight="1" x14ac:dyDescent="0.25"/>
    <row r="602" ht="12.75" customHeight="1" x14ac:dyDescent="0.25"/>
    <row r="603" ht="12.75" customHeight="1" x14ac:dyDescent="0.25"/>
    <row r="604" ht="12.75" customHeight="1" x14ac:dyDescent="0.25"/>
    <row r="605" ht="12.75" customHeight="1" x14ac:dyDescent="0.25"/>
    <row r="606" ht="12.75" customHeight="1" x14ac:dyDescent="0.25"/>
    <row r="607" ht="12.75" customHeight="1" x14ac:dyDescent="0.25"/>
    <row r="608" ht="12.75" customHeight="1" x14ac:dyDescent="0.25"/>
    <row r="609" ht="12.75" customHeight="1" x14ac:dyDescent="0.25"/>
    <row r="610" ht="12.75" customHeight="1" x14ac:dyDescent="0.25"/>
    <row r="611" ht="12.75" customHeight="1" x14ac:dyDescent="0.25"/>
    <row r="612" ht="12.75" customHeight="1" x14ac:dyDescent="0.25"/>
    <row r="613" ht="12.75" customHeight="1" x14ac:dyDescent="0.25"/>
    <row r="614" ht="12.75" customHeight="1" x14ac:dyDescent="0.25"/>
    <row r="615" ht="12.75" customHeight="1" x14ac:dyDescent="0.25"/>
    <row r="616" ht="12.75" customHeight="1" x14ac:dyDescent="0.25"/>
    <row r="617" ht="12.75" customHeight="1" x14ac:dyDescent="0.25"/>
    <row r="618" ht="12.75" customHeight="1" x14ac:dyDescent="0.25"/>
    <row r="619" ht="12.75" customHeight="1" x14ac:dyDescent="0.25"/>
    <row r="620" ht="12.75" customHeight="1" x14ac:dyDescent="0.25"/>
    <row r="621" ht="12.75" customHeight="1" x14ac:dyDescent="0.25"/>
    <row r="622" ht="12.75" customHeight="1" x14ac:dyDescent="0.25"/>
    <row r="623" ht="12.75" customHeight="1" x14ac:dyDescent="0.25"/>
    <row r="624" ht="12.75" customHeight="1" x14ac:dyDescent="0.25"/>
    <row r="625" ht="12.75" customHeight="1" x14ac:dyDescent="0.25"/>
    <row r="626" ht="12.75" customHeight="1" x14ac:dyDescent="0.25"/>
    <row r="627" ht="12.75" customHeight="1" x14ac:dyDescent="0.25"/>
    <row r="628" ht="12.75" customHeight="1" x14ac:dyDescent="0.25"/>
    <row r="629" ht="12.75" customHeight="1" x14ac:dyDescent="0.25"/>
    <row r="630" ht="12.75" customHeight="1" x14ac:dyDescent="0.25"/>
    <row r="631" ht="12.75" customHeight="1" x14ac:dyDescent="0.25"/>
    <row r="632" ht="12.75" customHeight="1" x14ac:dyDescent="0.25"/>
    <row r="633" ht="12.75" customHeight="1" x14ac:dyDescent="0.25"/>
    <row r="634" ht="12.75" customHeight="1" x14ac:dyDescent="0.25"/>
    <row r="635" ht="12.75" customHeight="1" x14ac:dyDescent="0.25"/>
    <row r="636" ht="12.75" customHeight="1" x14ac:dyDescent="0.25"/>
    <row r="637" ht="12.75" customHeight="1" x14ac:dyDescent="0.25"/>
    <row r="638" ht="12.75" customHeight="1" x14ac:dyDescent="0.25"/>
    <row r="639" ht="12.75" customHeight="1" x14ac:dyDescent="0.25"/>
    <row r="640" ht="12.75" customHeight="1" x14ac:dyDescent="0.25"/>
    <row r="641" ht="12.75" customHeight="1" x14ac:dyDescent="0.25"/>
    <row r="642" ht="12.75" customHeight="1" x14ac:dyDescent="0.25"/>
    <row r="643" ht="12.75" customHeight="1" x14ac:dyDescent="0.25"/>
    <row r="644" ht="12.75" customHeight="1" x14ac:dyDescent="0.25"/>
    <row r="645" ht="12.75" customHeight="1" x14ac:dyDescent="0.25"/>
    <row r="646" ht="12.75" customHeight="1" x14ac:dyDescent="0.25"/>
  </sheetData>
  <sortState ref="B13:X14">
    <sortCondition ref="F13:F14"/>
  </sortState>
  <mergeCells count="11">
    <mergeCell ref="U8:U12"/>
    <mergeCell ref="V8:V12"/>
    <mergeCell ref="W8:W12"/>
    <mergeCell ref="X8:X12"/>
    <mergeCell ref="D1:M6"/>
    <mergeCell ref="A4:B5"/>
    <mergeCell ref="G8:G12"/>
    <mergeCell ref="H8:H12"/>
    <mergeCell ref="R8:R12"/>
    <mergeCell ref="S8:T8"/>
    <mergeCell ref="E8:E12"/>
  </mergeCells>
  <conditionalFormatting sqref="F13:F53 F63">
    <cfRule type="dataBar" priority="479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{4DC16574-443C-4D2E-890C-43422FCB1FCC}</x14:id>
        </ext>
      </extLst>
    </cfRule>
  </conditionalFormatting>
  <conditionalFormatting sqref="F54">
    <cfRule type="dataBar" priority="459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{0AE3B0CF-C539-47C3-A11D-871B885C7E93}</x14:id>
        </ext>
      </extLst>
    </cfRule>
  </conditionalFormatting>
  <conditionalFormatting sqref="F55">
    <cfRule type="dataBar" priority="428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{CECDFF9F-9714-4C4F-8408-EBDAE73F82FC}</x14:id>
        </ext>
      </extLst>
    </cfRule>
  </conditionalFormatting>
  <conditionalFormatting sqref="F56">
    <cfRule type="dataBar" priority="397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{09EE73B8-21CF-4AEF-A769-F4B738D2CBA6}</x14:id>
        </ext>
      </extLst>
    </cfRule>
  </conditionalFormatting>
  <conditionalFormatting sqref="F57">
    <cfRule type="dataBar" priority="366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{ABB87784-95C4-4AC4-A9FD-331315E9C9F8}</x14:id>
        </ext>
      </extLst>
    </cfRule>
  </conditionalFormatting>
  <conditionalFormatting sqref="F58">
    <cfRule type="dataBar" priority="335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{FBF49EE9-82D5-48C0-AF91-C9AABE3768D0}</x14:id>
        </ext>
      </extLst>
    </cfRule>
  </conditionalFormatting>
  <conditionalFormatting sqref="F59">
    <cfRule type="dataBar" priority="304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{A9B47FA5-1F58-4255-8953-3FD444029E80}</x14:id>
        </ext>
      </extLst>
    </cfRule>
  </conditionalFormatting>
  <conditionalFormatting sqref="F60">
    <cfRule type="dataBar" priority="273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{51FB666D-2100-43F7-B701-B59D4CB68B85}</x14:id>
        </ext>
      </extLst>
    </cfRule>
  </conditionalFormatting>
  <conditionalFormatting sqref="F62">
    <cfRule type="dataBar" priority="242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{F0FCD202-E77D-4DD1-B918-504353D965F8}</x14:id>
        </ext>
      </extLst>
    </cfRule>
  </conditionalFormatting>
  <conditionalFormatting sqref="F61">
    <cfRule type="dataBar" priority="211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{32B6E16B-E652-403F-A92E-1EE0388924CD}</x14:id>
        </ext>
      </extLst>
    </cfRule>
  </conditionalFormatting>
  <conditionalFormatting sqref="F13:F63">
    <cfRule type="dataBar" priority="195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{7316B744-79C6-4B3E-A4E4-30CA1EA07B23}</x14:id>
        </ext>
      </extLst>
    </cfRule>
  </conditionalFormatting>
  <conditionalFormatting sqref="F13:F65 F67:F108">
    <cfRule type="dataBar" priority="130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{8434F953-FFDF-4ECA-A6C8-EAA528CB410F}</x14:id>
        </ext>
      </extLst>
    </cfRule>
  </conditionalFormatting>
  <conditionalFormatting sqref="F66">
    <cfRule type="dataBar" priority="84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{DF740B9F-6B84-4564-8CFD-97D58324DA8E}</x14:id>
        </ext>
      </extLst>
    </cfRule>
  </conditionalFormatting>
  <conditionalFormatting sqref="F13:F108">
    <cfRule type="dataBar" priority="69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{FCA06E49-D5AD-49FC-B742-E85C26A08684}</x14:id>
        </ext>
      </extLst>
    </cfRule>
  </conditionalFormatting>
  <conditionalFormatting sqref="F12">
    <cfRule type="dataBar" priority="67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{1A7DFB03-B1BF-4858-9462-587E4482BAD3}</x14:id>
        </ext>
      </extLst>
    </cfRule>
  </conditionalFormatting>
  <conditionalFormatting sqref="F12">
    <cfRule type="dataBar" priority="66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{DB561ACC-1A1A-4230-821D-4DBD877C768F}</x14:id>
        </ext>
      </extLst>
    </cfRule>
  </conditionalFormatting>
  <conditionalFormatting sqref="F12">
    <cfRule type="dataBar" priority="65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{0A34A704-9FBA-4DFC-9C2A-9D47C77F5B1A}</x14:id>
        </ext>
      </extLst>
    </cfRule>
  </conditionalFormatting>
  <conditionalFormatting sqref="F12">
    <cfRule type="dataBar" priority="64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{BC8736CC-B5EE-4E75-9EF0-AFE9A68B21EC}</x14:id>
        </ext>
      </extLst>
    </cfRule>
  </conditionalFormatting>
  <conditionalFormatting sqref="G108">
    <cfRule type="dataBar" priority="45">
      <dataBar>
        <cfvo type="min"/>
        <cfvo type="max"/>
        <color rgb="FFFF555A"/>
      </dataBar>
      <extLst>
        <ext xmlns:x14="http://schemas.microsoft.com/office/spreadsheetml/2009/9/main" uri="{B025F937-C7B1-47D3-B67F-A62EFF666E3E}">
          <x14:id>{1F4CE6A1-F837-4ED5-96D6-09A81E86BCCF}</x14:id>
        </ext>
      </extLst>
    </cfRule>
  </conditionalFormatting>
  <conditionalFormatting sqref="H13:H101 H104:H108">
    <cfRule type="dataBar" priority="44">
      <dataBar>
        <cfvo type="min"/>
        <cfvo type="max"/>
        <color rgb="FFFF555A"/>
      </dataBar>
      <extLst>
        <ext xmlns:x14="http://schemas.microsoft.com/office/spreadsheetml/2009/9/main" uri="{B025F937-C7B1-47D3-B67F-A62EFF666E3E}">
          <x14:id>{2B38EAD8-EF50-438D-8BB1-45A337A3634C}</x14:id>
        </ext>
      </extLst>
    </cfRule>
  </conditionalFormatting>
  <conditionalFormatting sqref="C24">
    <cfRule type="dataBar" priority="43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{542EF8C6-AA03-40F4-B474-119C96E6CE58}</x14:id>
        </ext>
      </extLst>
    </cfRule>
  </conditionalFormatting>
  <conditionalFormatting sqref="C24">
    <cfRule type="dataBar" priority="42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{63E0FBE8-769D-4F55-8207-F86B328FCADF}</x14:id>
        </ext>
      </extLst>
    </cfRule>
  </conditionalFormatting>
  <conditionalFormatting sqref="C24">
    <cfRule type="dataBar" priority="41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{91BD950A-CB78-46A2-8190-8CB109A71E65}</x14:id>
        </ext>
      </extLst>
    </cfRule>
  </conditionalFormatting>
  <conditionalFormatting sqref="C24">
    <cfRule type="dataBar" priority="40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{707B6432-A340-4638-AB42-7AA8F4F7F30A}</x14:id>
        </ext>
      </extLst>
    </cfRule>
  </conditionalFormatting>
  <conditionalFormatting sqref="G13:G101 G104:G107">
    <cfRule type="dataBar" priority="7">
      <dataBar>
        <cfvo type="min"/>
        <cfvo type="max"/>
        <color rgb="FFFF555A"/>
      </dataBar>
      <extLst>
        <ext xmlns:x14="http://schemas.microsoft.com/office/spreadsheetml/2009/9/main" uri="{B025F937-C7B1-47D3-B67F-A62EFF666E3E}">
          <x14:id>{16C38BED-0D3A-4C94-A15A-0A5419721C58}</x14:id>
        </ext>
      </extLst>
    </cfRule>
  </conditionalFormatting>
  <conditionalFormatting sqref="X13:X108">
    <cfRule type="dataBar" priority="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{8AC59FF2-BD6D-4A6D-8E8E-FA75AAE49D6A}</x14:id>
        </ext>
      </extLst>
    </cfRule>
  </conditionalFormatting>
  <conditionalFormatting sqref="G102:G103">
    <cfRule type="dataBar" priority="1">
      <dataBar>
        <cfvo type="min"/>
        <cfvo type="max"/>
        <color rgb="FFFF555A"/>
      </dataBar>
    </cfRule>
  </conditionalFormatting>
  <conditionalFormatting sqref="H102:H103">
    <cfRule type="dataBar" priority="2">
      <dataBar>
        <cfvo type="min"/>
        <cfvo type="max"/>
        <color rgb="FFFF555A"/>
      </dataBar>
      <extLst>
        <ext xmlns:x14="http://schemas.microsoft.com/office/spreadsheetml/2009/9/main" uri="{B025F937-C7B1-47D3-B67F-A62EFF666E3E}">
          <x14:id>{9F456493-8BBB-4975-9B91-CBC28BF86D70}</x14:id>
        </ext>
      </extLst>
    </cfRule>
  </conditionalFormatting>
  <conditionalFormatting sqref="I13:I104">
    <cfRule type="cellIs" dxfId="187" priority="17" operator="lessThan">
      <formula>MIN(I$13:I$67)*1.1</formula>
    </cfRule>
    <cfRule type="cellIs" dxfId="186" priority="62" operator="equal">
      <formula>MIN(I$13:I$67)</formula>
    </cfRule>
    <cfRule type="colorScale" priority="63">
      <colorScale>
        <cfvo type="min"/>
        <cfvo type="percentile" val="50"/>
        <cfvo type="percentile" val="90"/>
        <color rgb="FF63BE7B"/>
        <color rgb="FFFFEB84"/>
        <color rgb="FFF8696B"/>
      </colorScale>
    </cfRule>
  </conditionalFormatting>
  <conditionalFormatting sqref="J13:J104">
    <cfRule type="cellIs" dxfId="185" priority="16" operator="lessThan">
      <formula>MIN(J$13:J$67)*1.1</formula>
    </cfRule>
    <cfRule type="cellIs" dxfId="184" priority="60" operator="equal">
      <formula>MIN(J$13:J$67)</formula>
    </cfRule>
    <cfRule type="colorScale" priority="61">
      <colorScale>
        <cfvo type="min"/>
        <cfvo type="percentile" val="50"/>
        <cfvo type="percentile" val="90"/>
        <color rgb="FF63BE7B"/>
        <color rgb="FFFFEB84"/>
        <color rgb="FFF8696B"/>
      </colorScale>
    </cfRule>
  </conditionalFormatting>
  <conditionalFormatting sqref="K13:K104">
    <cfRule type="cellIs" dxfId="183" priority="15" operator="lessThan">
      <formula>MIN(K$13:K$67)*1.1</formula>
    </cfRule>
    <cfRule type="cellIs" dxfId="182" priority="58" operator="equal">
      <formula>MIN(K$13:K$67)</formula>
    </cfRule>
    <cfRule type="colorScale" priority="59">
      <colorScale>
        <cfvo type="min"/>
        <cfvo type="percentile" val="50"/>
        <cfvo type="percentile" val="90"/>
        <color rgb="FF63BE7B"/>
        <color rgb="FFFFEB84"/>
        <color rgb="FFF8696B"/>
      </colorScale>
    </cfRule>
  </conditionalFormatting>
  <conditionalFormatting sqref="L13:L104">
    <cfRule type="cellIs" dxfId="181" priority="14" operator="lessThan">
      <formula>MIN(L$13:L$67)*1.1</formula>
    </cfRule>
    <cfRule type="cellIs" dxfId="180" priority="56" operator="equal">
      <formula>MIN(L$13:L$67)</formula>
    </cfRule>
    <cfRule type="colorScale" priority="57">
      <colorScale>
        <cfvo type="min"/>
        <cfvo type="percentile" val="50"/>
        <cfvo type="percentile" val="90"/>
        <color rgb="FF63BE7B"/>
        <color rgb="FFFFEB84"/>
        <color rgb="FFF8696B"/>
      </colorScale>
    </cfRule>
  </conditionalFormatting>
  <conditionalFormatting sqref="M13:M104">
    <cfRule type="cellIs" dxfId="179" priority="13" operator="lessThan">
      <formula>MIN(M$13:M$67)*1.1</formula>
    </cfRule>
    <cfRule type="cellIs" dxfId="178" priority="54" operator="equal">
      <formula>MIN(M$13:M$67)</formula>
    </cfRule>
    <cfRule type="colorScale" priority="55">
      <colorScale>
        <cfvo type="min"/>
        <cfvo type="percentile" val="50"/>
        <cfvo type="percentile" val="90"/>
        <color rgb="FF63BE7B"/>
        <color rgb="FFFFEB84"/>
        <color rgb="FFF8696B"/>
      </colorScale>
    </cfRule>
  </conditionalFormatting>
  <conditionalFormatting sqref="N13:N104">
    <cfRule type="cellIs" dxfId="177" priority="12" operator="lessThan">
      <formula>MIN(N$13:N$67)*1.1</formula>
    </cfRule>
    <cfRule type="cellIs" dxfId="176" priority="52" operator="equal">
      <formula>MIN(N$13:N$67)</formula>
    </cfRule>
    <cfRule type="colorScale" priority="53">
      <colorScale>
        <cfvo type="min"/>
        <cfvo type="percentile" val="50"/>
        <cfvo type="percentile" val="90"/>
        <color rgb="FF63BE7B"/>
        <color rgb="FFFFEB84"/>
        <color rgb="FFF8696B"/>
      </colorScale>
    </cfRule>
  </conditionalFormatting>
  <conditionalFormatting sqref="O13:O104">
    <cfRule type="cellIs" dxfId="175" priority="11" operator="lessThan">
      <formula>MIN(O$13:O$67)*1.1</formula>
    </cfRule>
    <cfRule type="cellIs" dxfId="174" priority="50" operator="equal">
      <formula>MIN(O$13:O$67)</formula>
    </cfRule>
    <cfRule type="colorScale" priority="51">
      <colorScale>
        <cfvo type="min"/>
        <cfvo type="percentile" val="50"/>
        <cfvo type="percentile" val="90"/>
        <color rgb="FF63BE7B"/>
        <color rgb="FFFFEB84"/>
        <color rgb="FFF8696B"/>
      </colorScale>
    </cfRule>
  </conditionalFormatting>
  <conditionalFormatting sqref="P13:P104">
    <cfRule type="cellIs" dxfId="173" priority="10" operator="lessThan">
      <formula>MIN(P$13:P$67)*1.1</formula>
    </cfRule>
    <cfRule type="cellIs" dxfId="172" priority="48" operator="equal">
      <formula>MIN(P$13:P$67)</formula>
    </cfRule>
    <cfRule type="colorScale" priority="49">
      <colorScale>
        <cfvo type="min"/>
        <cfvo type="percentile" val="50"/>
        <cfvo type="percentile" val="90"/>
        <color rgb="FF63BE7B"/>
        <color rgb="FFFFEB84"/>
        <color rgb="FFF8696B"/>
      </colorScale>
    </cfRule>
  </conditionalFormatting>
  <conditionalFormatting sqref="Q13:Q104">
    <cfRule type="cellIs" dxfId="171" priority="9" operator="lessThan">
      <formula>MIN(Q$13:Q$67)*1.1</formula>
    </cfRule>
    <cfRule type="cellIs" dxfId="170" priority="46" operator="equal">
      <formula>MIN(Q$13:Q$67)</formula>
    </cfRule>
    <cfRule type="colorScale" priority="47">
      <colorScale>
        <cfvo type="min"/>
        <cfvo type="percentile" val="50"/>
        <cfvo type="percentile" val="90"/>
        <color rgb="FF63BE7B"/>
        <color rgb="FFFFEB84"/>
        <color rgb="FFF8696B"/>
      </colorScale>
    </cfRule>
  </conditionalFormatting>
  <hyperlinks>
    <hyperlink ref="C68" r:id="rId1" display="Durilca 0.5 (Hutter) -o13 -m700 -t1"/>
    <hyperlink ref="C44" r:id="rId2" display="FP8 -7 (2010) Jan Ondrus"/>
    <hyperlink ref="W4" r:id="rId3"/>
    <hyperlink ref="W5" r:id="rId4"/>
    <hyperlink ref="C37" r:id="rId5" display="PAQ 8o8pre -7 (07.11.'07) 'PAQcrew'"/>
    <hyperlink ref="C43" r:id="rId6" display="FP8 v2 -7 (2012) Jan Ondrus"/>
    <hyperlink ref="C42" r:id="rId7" display="FP8 v3 -7 (2012) Jan Ondrus"/>
    <hyperlink ref="R4" r:id="rId8"/>
    <hyperlink ref="C103" r:id="rId9" display="CTS"/>
    <hyperlink ref="C75" r:id="rId10" display="OCAMYD 1.66 RC 6 -s0 -m9"/>
    <hyperlink ref="C72" r:id="rId11" display="SLIM 0.21 (2004) -w25 A. Voskoboynikov"/>
    <hyperlink ref="C71" r:id="rId12" display="SLIM 0.23d (2004) -o16 -m800 S. Voskoboynikov"/>
    <hyperlink ref="C73" r:id="rId13" display="PAQ 4 EmilCont Duritium Berto Destasio"/>
    <hyperlink ref="C74" r:id="rId14" display="PAQ 7 (24.12.2005) -5           "/>
    <hyperlink ref="C66" r:id="rId15" display="UDA 0.301 (2006)  'PAQ crew' &amp; Dwing"/>
    <hyperlink ref="C49" r:id="rId16" display="PAQ 8jd (SSE Win32) -7 'PAQ crew'"/>
    <hyperlink ref="C46" r:id="rId17" display="PAQ 8l -7  'PAQ crew'"/>
    <hyperlink ref="C63" r:id="rId18" display="PAQAR 4 (2004) Option -7e 'PAQ crew'"/>
    <hyperlink ref="C62" r:id="rId19" display="PAsQDa v4.4 -8e (std dict.)  'PAQ crew'"/>
    <hyperlink ref="C55" r:id="rId20" display="PAQ 8d (2006) -7 (std dict.)  'PAQ crew'"/>
    <hyperlink ref="C53" r:id="rId21" display="PAQ 8i (std dict.) -7 'PAQ crew'"/>
    <hyperlink ref="C85" r:id="rId22" display="SCM 0.01 -p3 Sebastian Lehmann"/>
    <hyperlink ref="C108" r:id="rId23" display="Staticcomp 1.0 -c -g6 -b6 Tomas Benek"/>
    <hyperlink ref="C95" r:id="rId24" display="BARRED SVN_Sep23 Frank Jennings"/>
    <hyperlink ref="C77" r:id="rId25" display="OCAMYD 1.65 Final -s0 -m9"/>
    <hyperlink ref="C98" r:id="rId26" display="LCSSR 0.2 (2007) Frank Schwellinger"/>
    <hyperlink ref="C79" r:id="rId27"/>
    <hyperlink ref="R5" r:id="rId28"/>
    <hyperlink ref="C96" r:id="rId29"/>
    <hyperlink ref="C78" r:id="rId30" display="RK 1.04.1a  -ts -t16384 -mx3 -m256"/>
    <hyperlink ref="C81" r:id="rId31" display="PIMPLE 1.43 extreme Ilia Muraviev"/>
    <hyperlink ref="C82" r:id="rId32"/>
    <hyperlink ref="C92" r:id="rId33"/>
    <hyperlink ref="C97" r:id="rId34" display="CTW 0.1 -n16M -f16M Frank Willems"/>
    <hyperlink ref="C90" r:id="rId35"/>
    <hyperlink ref="C101" r:id="rId36"/>
    <hyperlink ref="C102" r:id="rId37"/>
    <hyperlink ref="C87" r:id="rId38" display="ACB 2.00c MAX George Buyanovsky"/>
    <hyperlink ref="C64" r:id="rId39"/>
    <hyperlink ref="C7" r:id="rId40"/>
    <hyperlink ref="C6" r:id="rId41"/>
    <hyperlink ref="C27" r:id="rId42" display="PAQ 8pxd_v16-skbuild -s8:2 Kaido Orav"/>
    <hyperlink ref="C29" r:id="rId43" display="PAQ 8pxd_v15 -s8 Kaido Orav"/>
    <hyperlink ref="C52" r:id="rId44" display="PAQ 8pxd_v15 -f8:2 Kaido Orav"/>
    <hyperlink ref="C33" r:id="rId45" display="PAQ 8pxd_v13-skbuild-1 -8 Kaido Orav"/>
    <hyperlink ref="C32" r:id="rId46" display="PAQ 8pxd_v3 -8 ('12) Matt Mahoney et al."/>
    <hyperlink ref="C39" r:id="rId47" display="PAQ 8pxd_v2 -7 (2012) Matt Mahoney et al."/>
    <hyperlink ref="C38" r:id="rId48" display="PAQ 8pxd_v4 -7 (2012) Matt Mahoney et al."/>
    <hyperlink ref="C86" r:id="rId49" display="BROTLI 2015 09 -q 10"/>
    <hyperlink ref="C56" r:id="rId50"/>
    <hyperlink ref="C26" r:id="rId51" display="FP8 v2 -7 (2012) Jan Ondrus"/>
    <hyperlink ref="C21" r:id="rId52" display="PAQ8PX_v73 -8 Matt Mahoney et al."/>
    <hyperlink ref="C60" r:id="rId53" display="Emma 0.1.6 fast 1024MB o9 Márcio Pais"/>
    <hyperlink ref="C84" r:id="rId54" display="BROTLI 2015 09 -q 10"/>
    <hyperlink ref="C93" r:id="rId55"/>
    <hyperlink ref="J8" r:id="rId56"/>
    <hyperlink ref="O8" r:id="rId57"/>
    <hyperlink ref="P8" r:id="rId58"/>
    <hyperlink ref="Q8" r:id="rId59"/>
    <hyperlink ref="N8" r:id="rId60"/>
    <hyperlink ref="L8" r:id="rId61"/>
    <hyperlink ref="I8" r:id="rId62"/>
    <hyperlink ref="M8" r:id="rId63"/>
    <hyperlink ref="K8" r:id="rId64"/>
    <hyperlink ref="C19" r:id="rId65" display="PAQ8PX_v75 -8 Matt Mahoney et al."/>
    <hyperlink ref="C76" r:id="rId66" display="DARK 0.51 p-b256m (2007)"/>
    <hyperlink ref="C25" r:id="rId67"/>
    <hyperlink ref="C20" r:id="rId68" display="PAQ8PX_v79 -8 Matt Mahoney et al."/>
    <hyperlink ref="C17" r:id="rId69" display="PAQ8PX_v87 -8 Matt Mahoney et al."/>
    <hyperlink ref="C23" r:id="rId70" display="Emma 0.1.24 (preset best) Márcio Pais"/>
    <hyperlink ref="C18" r:id="rId71"/>
    <hyperlink ref="C13" r:id="rId72" display="PAQ8PX_v110 -8 Matt Mahoney et al."/>
    <hyperlink ref="C83" r:id="rId73" display="CM4 (2014) Nauful"/>
    <hyperlink ref="C88" r:id="rId74" display="CM0_EXT"/>
    <hyperlink ref="C80" r:id="rId75"/>
    <hyperlink ref="C106" r:id="rId76"/>
    <hyperlink ref="C16" r:id="rId77" display="PAQ8PX_v110 -8 Matt Mahoney et al."/>
    <hyperlink ref="C22" r:id="rId78" display="Emma 0.1.24 (preset best) Márcio Pais"/>
    <hyperlink ref="C57" r:id="rId79"/>
    <hyperlink ref="C14" r:id="rId80" display="PAQ8PX_v110 -8 Matt Mahoney et al."/>
  </hyperlinks>
  <pageMargins left="0.59027777777777779" right="0" top="0" bottom="0" header="0.51180555555555562" footer="0.51180555555555562"/>
  <pageSetup paperSize="9" scale="30" firstPageNumber="0" orientation="portrait" r:id="rId81"/>
  <headerFooter alignWithMargins="0"/>
  <drawing r:id="rId82"/>
  <legacyDrawing r:id="rId83"/>
  <picture r:id="rId84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4DC16574-443C-4D2E-890C-43422FCB1FCC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F13:F53 F63</xm:sqref>
        </x14:conditionalFormatting>
        <x14:conditionalFormatting xmlns:xm="http://schemas.microsoft.com/office/excel/2006/main">
          <x14:cfRule type="dataBar" id="{0AE3B0CF-C539-47C3-A11D-871B885C7E93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F54</xm:sqref>
        </x14:conditionalFormatting>
        <x14:conditionalFormatting xmlns:xm="http://schemas.microsoft.com/office/excel/2006/main">
          <x14:cfRule type="dataBar" id="{CECDFF9F-9714-4C4F-8408-EBDAE73F82FC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F55</xm:sqref>
        </x14:conditionalFormatting>
        <x14:conditionalFormatting xmlns:xm="http://schemas.microsoft.com/office/excel/2006/main">
          <x14:cfRule type="dataBar" id="{09EE73B8-21CF-4AEF-A769-F4B738D2CBA6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F56</xm:sqref>
        </x14:conditionalFormatting>
        <x14:conditionalFormatting xmlns:xm="http://schemas.microsoft.com/office/excel/2006/main">
          <x14:cfRule type="dataBar" id="{ABB87784-95C4-4AC4-A9FD-331315E9C9F8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F57</xm:sqref>
        </x14:conditionalFormatting>
        <x14:conditionalFormatting xmlns:xm="http://schemas.microsoft.com/office/excel/2006/main">
          <x14:cfRule type="dataBar" id="{FBF49EE9-82D5-48C0-AF91-C9AABE3768D0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F58</xm:sqref>
        </x14:conditionalFormatting>
        <x14:conditionalFormatting xmlns:xm="http://schemas.microsoft.com/office/excel/2006/main">
          <x14:cfRule type="dataBar" id="{A9B47FA5-1F58-4255-8953-3FD444029E80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F59</xm:sqref>
        </x14:conditionalFormatting>
        <x14:conditionalFormatting xmlns:xm="http://schemas.microsoft.com/office/excel/2006/main">
          <x14:cfRule type="dataBar" id="{51FB666D-2100-43F7-B701-B59D4CB68B85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F60</xm:sqref>
        </x14:conditionalFormatting>
        <x14:conditionalFormatting xmlns:xm="http://schemas.microsoft.com/office/excel/2006/main">
          <x14:cfRule type="dataBar" id="{F0FCD202-E77D-4DD1-B918-504353D965F8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F62</xm:sqref>
        </x14:conditionalFormatting>
        <x14:conditionalFormatting xmlns:xm="http://schemas.microsoft.com/office/excel/2006/main">
          <x14:cfRule type="dataBar" id="{32B6E16B-E652-403F-A92E-1EE0388924CD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F61</xm:sqref>
        </x14:conditionalFormatting>
        <x14:conditionalFormatting xmlns:xm="http://schemas.microsoft.com/office/excel/2006/main">
          <x14:cfRule type="dataBar" id="{7316B744-79C6-4B3E-A4E4-30CA1EA07B23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F13:F63</xm:sqref>
        </x14:conditionalFormatting>
        <x14:conditionalFormatting xmlns:xm="http://schemas.microsoft.com/office/excel/2006/main">
          <x14:cfRule type="dataBar" id="{8434F953-FFDF-4ECA-A6C8-EAA528CB410F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F13:F65 F67:F108</xm:sqref>
        </x14:conditionalFormatting>
        <x14:conditionalFormatting xmlns:xm="http://schemas.microsoft.com/office/excel/2006/main">
          <x14:cfRule type="dataBar" id="{DF740B9F-6B84-4564-8CFD-97D58324DA8E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F66</xm:sqref>
        </x14:conditionalFormatting>
        <x14:conditionalFormatting xmlns:xm="http://schemas.microsoft.com/office/excel/2006/main">
          <x14:cfRule type="dataBar" id="{FCA06E49-D5AD-49FC-B742-E85C26A08684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F13:F108</xm:sqref>
        </x14:conditionalFormatting>
        <x14:conditionalFormatting xmlns:xm="http://schemas.microsoft.com/office/excel/2006/main">
          <x14:cfRule type="dataBar" id="{1A7DFB03-B1BF-4858-9462-587E4482BAD3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F12</xm:sqref>
        </x14:conditionalFormatting>
        <x14:conditionalFormatting xmlns:xm="http://schemas.microsoft.com/office/excel/2006/main">
          <x14:cfRule type="dataBar" id="{DB561ACC-1A1A-4230-821D-4DBD877C768F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F12</xm:sqref>
        </x14:conditionalFormatting>
        <x14:conditionalFormatting xmlns:xm="http://schemas.microsoft.com/office/excel/2006/main">
          <x14:cfRule type="dataBar" id="{0A34A704-9FBA-4DFC-9C2A-9D47C77F5B1A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F12</xm:sqref>
        </x14:conditionalFormatting>
        <x14:conditionalFormatting xmlns:xm="http://schemas.microsoft.com/office/excel/2006/main">
          <x14:cfRule type="dataBar" id="{BC8736CC-B5EE-4E75-9EF0-AFE9A68B21EC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F12</xm:sqref>
        </x14:conditionalFormatting>
        <x14:conditionalFormatting xmlns:xm="http://schemas.microsoft.com/office/excel/2006/main">
          <x14:cfRule type="dataBar" id="{1F4CE6A1-F837-4ED5-96D6-09A81E86BCCF}">
            <x14:dataBar minLength="0" maxLength="100" border="1" negativeBarBorderColorSameAsPositive="0">
              <x14:cfvo type="autoMin"/>
              <x14:cfvo type="autoMax"/>
              <x14:borderColor rgb="FFFF555A"/>
              <x14:negativeFillColor rgb="FFFF0000"/>
              <x14:negativeBorderColor rgb="FFFF0000"/>
              <x14:axisColor rgb="FF000000"/>
            </x14:dataBar>
          </x14:cfRule>
          <xm:sqref>G108</xm:sqref>
        </x14:conditionalFormatting>
        <x14:conditionalFormatting xmlns:xm="http://schemas.microsoft.com/office/excel/2006/main">
          <x14:cfRule type="dataBar" id="{2B38EAD8-EF50-438D-8BB1-45A337A3634C}">
            <x14:dataBar minLength="0" maxLength="100" border="1" negativeBarBorderColorSameAsPositive="0">
              <x14:cfvo type="autoMin"/>
              <x14:cfvo type="autoMax"/>
              <x14:borderColor rgb="FFFF555A"/>
              <x14:negativeFillColor rgb="FFFF0000"/>
              <x14:negativeBorderColor rgb="FFFF0000"/>
              <x14:axisColor rgb="FF000000"/>
            </x14:dataBar>
          </x14:cfRule>
          <xm:sqref>H13:H101 H104:H108</xm:sqref>
        </x14:conditionalFormatting>
        <x14:conditionalFormatting xmlns:xm="http://schemas.microsoft.com/office/excel/2006/main">
          <x14:cfRule type="dataBar" id="{542EF8C6-AA03-40F4-B474-119C96E6CE58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C24</xm:sqref>
        </x14:conditionalFormatting>
        <x14:conditionalFormatting xmlns:xm="http://schemas.microsoft.com/office/excel/2006/main">
          <x14:cfRule type="dataBar" id="{63E0FBE8-769D-4F55-8207-F86B328FCADF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C24</xm:sqref>
        </x14:conditionalFormatting>
        <x14:conditionalFormatting xmlns:xm="http://schemas.microsoft.com/office/excel/2006/main">
          <x14:cfRule type="dataBar" id="{91BD950A-CB78-46A2-8190-8CB109A71E65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C24</xm:sqref>
        </x14:conditionalFormatting>
        <x14:conditionalFormatting xmlns:xm="http://schemas.microsoft.com/office/excel/2006/main">
          <x14:cfRule type="dataBar" id="{707B6432-A340-4638-AB42-7AA8F4F7F30A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C24</xm:sqref>
        </x14:conditionalFormatting>
        <x14:conditionalFormatting xmlns:xm="http://schemas.microsoft.com/office/excel/2006/main">
          <x14:cfRule type="dataBar" id="{16C38BED-0D3A-4C94-A15A-0A5419721C58}">
            <x14:dataBar minLength="0" maxLength="100" border="1" negativeBarBorderColorSameAsPositive="0">
              <x14:cfvo type="autoMin"/>
              <x14:cfvo type="autoMax"/>
              <x14:borderColor rgb="FFFF555A"/>
              <x14:negativeFillColor rgb="FFFF0000"/>
              <x14:negativeBorderColor rgb="FFFF0000"/>
              <x14:axisColor rgb="FF000000"/>
            </x14:dataBar>
          </x14:cfRule>
          <xm:sqref>G13:G101 G104:G107</xm:sqref>
        </x14:conditionalFormatting>
        <x14:conditionalFormatting xmlns:xm="http://schemas.microsoft.com/office/excel/2006/main">
          <x14:cfRule type="dataBar" id="{8AC59FF2-BD6D-4A6D-8E8E-FA75AAE49D6A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X13:X108</xm:sqref>
        </x14:conditionalFormatting>
        <x14:conditionalFormatting xmlns:xm="http://schemas.microsoft.com/office/excel/2006/main">
          <x14:cfRule type="dataBar" id="{9F456493-8BBB-4975-9B91-CBC28BF86D70}">
            <x14:dataBar minLength="0" maxLength="100" border="1" negativeBarBorderColorSameAsPositive="0">
              <x14:cfvo type="autoMin"/>
              <x14:cfvo type="autoMax"/>
              <x14:borderColor rgb="FFFF555A"/>
              <x14:negativeFillColor rgb="FFFF0000"/>
              <x14:negativeBorderColor rgb="FFFF0000"/>
              <x14:axisColor rgb="FF000000"/>
            </x14:dataBar>
          </x14:cfRule>
          <xm:sqref>H102:H103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6">
    <tabColor rgb="FFFFC000"/>
  </sheetPr>
  <dimension ref="A1:Q202"/>
  <sheetViews>
    <sheetView showGridLines="0" workbookViewId="0">
      <selection activeCell="B89" sqref="B89"/>
    </sheetView>
  </sheetViews>
  <sheetFormatPr baseColWidth="10" defaultColWidth="9.140625" defaultRowHeight="12.75" x14ac:dyDescent="0.2"/>
  <cols>
    <col min="1" max="1" width="2.7109375" style="138" customWidth="1"/>
    <col min="2" max="2" width="69.7109375" style="138" customWidth="1"/>
    <col min="3" max="3" width="4.5703125" style="138" customWidth="1"/>
    <col min="4" max="4" width="13.7109375" style="138" customWidth="1"/>
    <col min="5" max="5" width="9.140625" style="138" customWidth="1"/>
    <col min="6" max="9" width="15.5703125" style="138" customWidth="1"/>
    <col min="10" max="11" width="15.42578125" style="138" customWidth="1"/>
    <col min="12" max="12" width="11.5703125" style="138" customWidth="1"/>
    <col min="13" max="13" width="50.7109375" style="138" customWidth="1"/>
    <col min="14" max="14" width="2.7109375" style="138" customWidth="1"/>
    <col min="15" max="15" width="6.7109375" style="138" customWidth="1"/>
    <col min="16" max="16" width="13.7109375" style="138" customWidth="1"/>
    <col min="17" max="17" width="8.140625" style="138" customWidth="1"/>
    <col min="18" max="16384" width="9.140625" style="138"/>
  </cols>
  <sheetData>
    <row r="1" spans="1:17" ht="18" customHeight="1" x14ac:dyDescent="0.2">
      <c r="A1" s="656"/>
      <c r="B1" s="143">
        <v>42996.486261574071</v>
      </c>
      <c r="C1" s="4937" t="s">
        <v>1611</v>
      </c>
      <c r="D1" s="4937"/>
      <c r="E1" s="4937"/>
      <c r="F1" s="4937"/>
      <c r="G1" s="4937"/>
      <c r="H1" s="4937"/>
      <c r="I1" s="4937"/>
      <c r="J1" s="4937"/>
      <c r="K1" s="4937"/>
      <c r="L1" s="4937"/>
      <c r="M1" s="1311"/>
      <c r="N1" s="1311"/>
      <c r="O1" s="1311"/>
      <c r="P1" s="1311"/>
      <c r="Q1" s="1311"/>
    </row>
    <row r="2" spans="1:17" ht="15" customHeight="1" x14ac:dyDescent="0.2">
      <c r="A2" s="656"/>
      <c r="B2" s="144"/>
      <c r="C2" s="4937"/>
      <c r="D2" s="4937"/>
      <c r="E2" s="4937"/>
      <c r="F2" s="4937"/>
      <c r="G2" s="4937"/>
      <c r="H2" s="4937"/>
      <c r="I2" s="4937"/>
      <c r="J2" s="4937"/>
      <c r="K2" s="4937"/>
      <c r="L2" s="4937"/>
      <c r="M2" s="1311"/>
      <c r="N2" s="1311"/>
      <c r="O2" s="1311"/>
      <c r="P2" s="1311"/>
      <c r="Q2" s="1311"/>
    </row>
    <row r="3" spans="1:17" ht="26.25" customHeight="1" x14ac:dyDescent="0.2">
      <c r="A3" s="656"/>
      <c r="B3" s="145"/>
      <c r="C3" s="4937"/>
      <c r="D3" s="4937"/>
      <c r="E3" s="4937"/>
      <c r="F3" s="4937"/>
      <c r="G3" s="4937"/>
      <c r="H3" s="4937"/>
      <c r="I3" s="4937"/>
      <c r="J3" s="4937"/>
      <c r="K3" s="4937"/>
      <c r="L3" s="4937"/>
      <c r="M3" s="1311"/>
      <c r="N3" s="1311"/>
      <c r="O3" s="1311"/>
      <c r="P3" s="1311"/>
      <c r="Q3" s="1311"/>
    </row>
    <row r="4" spans="1:17" ht="18" customHeight="1" x14ac:dyDescent="0.2">
      <c r="A4" s="656"/>
      <c r="B4" s="3465" t="s">
        <v>2679</v>
      </c>
      <c r="C4" s="3365"/>
      <c r="D4" s="3365"/>
      <c r="E4" s="3365"/>
      <c r="F4" s="3365"/>
      <c r="G4" s="3365"/>
      <c r="H4" s="3365"/>
      <c r="I4" s="3365"/>
      <c r="J4" s="3365"/>
      <c r="K4" s="3365"/>
      <c r="L4" s="3365"/>
      <c r="M4" s="1311"/>
      <c r="N4" s="1311"/>
      <c r="O4" s="1311"/>
      <c r="P4" s="1311"/>
      <c r="Q4" s="1311"/>
    </row>
    <row r="5" spans="1:17" ht="18" customHeight="1" x14ac:dyDescent="0.2">
      <c r="A5" s="656"/>
      <c r="B5" s="3465" t="s">
        <v>2680</v>
      </c>
      <c r="C5" s="3365"/>
      <c r="D5" s="3365"/>
      <c r="E5" s="3365"/>
      <c r="F5" s="3365"/>
      <c r="G5" s="3365"/>
      <c r="H5" s="3365"/>
      <c r="I5" s="3365"/>
      <c r="J5" s="3365"/>
      <c r="K5" s="3365"/>
      <c r="L5" s="3365"/>
      <c r="M5" s="1311"/>
      <c r="N5" s="1311"/>
      <c r="O5" s="1311"/>
      <c r="P5" s="1311"/>
      <c r="Q5" s="1311"/>
    </row>
    <row r="6" spans="1:17" ht="7.5" customHeight="1" x14ac:dyDescent="0.2">
      <c r="A6" s="656"/>
      <c r="B6" s="145"/>
      <c r="C6" s="3365"/>
      <c r="D6" s="3365"/>
      <c r="E6" s="3365"/>
      <c r="F6" s="3365"/>
      <c r="G6" s="3365"/>
      <c r="H6" s="3365"/>
      <c r="I6" s="3365"/>
      <c r="J6" s="3365"/>
      <c r="K6" s="3365"/>
      <c r="L6" s="3365"/>
      <c r="M6" s="1311"/>
      <c r="N6" s="1311"/>
      <c r="O6" s="1311"/>
      <c r="P6" s="1311"/>
      <c r="Q6" s="1311"/>
    </row>
    <row r="7" spans="1:17" ht="15" customHeight="1" x14ac:dyDescent="0.25">
      <c r="A7" s="1312"/>
      <c r="B7" s="146" t="s">
        <v>956</v>
      </c>
      <c r="C7" s="147"/>
      <c r="D7" s="4973" t="s">
        <v>1320</v>
      </c>
      <c r="E7" s="4970" t="s">
        <v>44</v>
      </c>
      <c r="F7" s="1613" t="s">
        <v>990</v>
      </c>
      <c r="G7" s="1613" t="s">
        <v>991</v>
      </c>
      <c r="H7" s="1613" t="s">
        <v>992</v>
      </c>
      <c r="I7" s="1613" t="s">
        <v>993</v>
      </c>
      <c r="J7" s="1613" t="s">
        <v>994</v>
      </c>
      <c r="K7" s="1613" t="s">
        <v>995</v>
      </c>
      <c r="L7" s="8"/>
      <c r="M7" s="1313"/>
      <c r="N7" s="1314"/>
      <c r="O7" s="1314"/>
      <c r="P7" s="1315"/>
      <c r="Q7" s="1315"/>
    </row>
    <row r="8" spans="1:17" ht="36" customHeight="1" x14ac:dyDescent="0.25">
      <c r="A8" s="1312"/>
      <c r="B8" s="4968" t="s">
        <v>1056</v>
      </c>
      <c r="C8" s="148"/>
      <c r="D8" s="4974"/>
      <c r="E8" s="4971"/>
      <c r="F8" s="1610" t="s">
        <v>984</v>
      </c>
      <c r="G8" s="1610" t="s">
        <v>985</v>
      </c>
      <c r="H8" s="1610" t="s">
        <v>986</v>
      </c>
      <c r="I8" s="1612" t="s">
        <v>987</v>
      </c>
      <c r="J8" s="1612" t="s">
        <v>988</v>
      </c>
      <c r="K8" s="1612" t="s">
        <v>989</v>
      </c>
      <c r="L8" s="8"/>
      <c r="M8" s="1313"/>
      <c r="N8" s="1314"/>
      <c r="O8" s="1314"/>
      <c r="P8" s="1315"/>
      <c r="Q8" s="1315"/>
    </row>
    <row r="9" spans="1:17" ht="15" customHeight="1" x14ac:dyDescent="0.25">
      <c r="A9" s="1312"/>
      <c r="B9" s="4969"/>
      <c r="C9" s="148"/>
      <c r="D9" s="4974"/>
      <c r="E9" s="4971"/>
      <c r="F9" s="149" t="s">
        <v>1951</v>
      </c>
      <c r="G9" s="149" t="s">
        <v>1951</v>
      </c>
      <c r="H9" s="149" t="s">
        <v>1951</v>
      </c>
      <c r="I9" s="150" t="s">
        <v>1951</v>
      </c>
      <c r="J9" s="150" t="s">
        <v>1951</v>
      </c>
      <c r="K9" s="150" t="s">
        <v>1951</v>
      </c>
      <c r="L9" s="8"/>
      <c r="M9" s="1313"/>
      <c r="N9" s="1314"/>
      <c r="O9" s="1314"/>
      <c r="P9" s="1315"/>
      <c r="Q9" s="1315"/>
    </row>
    <row r="10" spans="1:17" ht="15" customHeight="1" x14ac:dyDescent="0.25">
      <c r="A10" s="1312"/>
      <c r="B10" s="151" t="s">
        <v>1143</v>
      </c>
      <c r="C10" s="148"/>
      <c r="D10" s="4975"/>
      <c r="E10" s="4972"/>
      <c r="F10" s="152" t="s">
        <v>982</v>
      </c>
      <c r="G10" s="152" t="s">
        <v>944</v>
      </c>
      <c r="H10" s="153" t="s">
        <v>981</v>
      </c>
      <c r="I10" s="154" t="s">
        <v>945</v>
      </c>
      <c r="J10" s="154" t="s">
        <v>946</v>
      </c>
      <c r="K10" s="154" t="s">
        <v>947</v>
      </c>
      <c r="L10" s="8"/>
      <c r="M10" s="1313"/>
      <c r="N10" s="1314"/>
      <c r="O10" s="1314"/>
      <c r="P10" s="1315"/>
      <c r="Q10" s="1315"/>
    </row>
    <row r="11" spans="1:17" ht="1.5" hidden="1" customHeight="1" x14ac:dyDescent="0.25">
      <c r="A11" s="1312"/>
      <c r="B11" s="155"/>
      <c r="C11" s="148"/>
      <c r="D11" s="138">
        <v>100</v>
      </c>
      <c r="F11" s="156">
        <f t="shared" ref="F11:K11" si="0">MIN(F12:F101)</f>
        <v>21324487</v>
      </c>
      <c r="G11" s="156">
        <f t="shared" si="0"/>
        <v>65855109</v>
      </c>
      <c r="H11" s="156">
        <f t="shared" si="0"/>
        <v>20771857</v>
      </c>
      <c r="I11" s="156">
        <f t="shared" si="0"/>
        <v>22759276</v>
      </c>
      <c r="J11" s="156">
        <f t="shared" si="0"/>
        <v>25262790</v>
      </c>
      <c r="K11" s="156">
        <f t="shared" si="0"/>
        <v>52216710</v>
      </c>
      <c r="L11" s="8"/>
      <c r="M11" s="1313"/>
      <c r="N11" s="1314"/>
      <c r="O11" s="1314"/>
      <c r="P11" s="1315"/>
      <c r="Q11" s="1315"/>
    </row>
    <row r="12" spans="1:17" ht="18" x14ac:dyDescent="0.2">
      <c r="A12" s="1312"/>
      <c r="B12" s="157" t="s">
        <v>983</v>
      </c>
      <c r="C12" s="158"/>
      <c r="D12" s="159">
        <f t="shared" ref="D12:D39" si="1">SUM(F12/F$11,G12/G$11,H12/H$11,I12/I$11,J12/J$11,K12/K$11)/6*100</f>
        <v>171.46939493587396</v>
      </c>
      <c r="E12" s="160" t="s">
        <v>1321</v>
      </c>
      <c r="F12" s="161">
        <v>36245448</v>
      </c>
      <c r="G12" s="162">
        <v>128217728</v>
      </c>
      <c r="H12" s="161">
        <v>39886856</v>
      </c>
      <c r="I12" s="162">
        <v>34774648</v>
      </c>
      <c r="J12" s="162">
        <v>38215342</v>
      </c>
      <c r="K12" s="162">
        <v>87755684</v>
      </c>
      <c r="L12" s="8"/>
      <c r="M12" s="1316"/>
      <c r="N12" s="1317"/>
      <c r="O12" s="1318"/>
      <c r="P12" s="436"/>
      <c r="Q12" s="1319"/>
    </row>
    <row r="13" spans="1:17" ht="18" x14ac:dyDescent="0.25">
      <c r="A13" s="1320"/>
      <c r="B13" s="553" t="s">
        <v>1347</v>
      </c>
      <c r="C13" s="163"/>
      <c r="D13" s="159">
        <f t="shared" si="1"/>
        <v>100.06774435236687</v>
      </c>
      <c r="E13" s="164">
        <f>4322+15368+4595+4096+4439+10146</f>
        <v>42966</v>
      </c>
      <c r="F13" s="165">
        <v>21324487</v>
      </c>
      <c r="G13" s="166">
        <v>65919345</v>
      </c>
      <c r="H13" s="166">
        <v>20771857</v>
      </c>
      <c r="I13" s="167">
        <v>22759276</v>
      </c>
      <c r="J13" s="167">
        <v>25340833</v>
      </c>
      <c r="K13" s="167">
        <v>52216710</v>
      </c>
      <c r="L13" s="8"/>
      <c r="M13" s="427"/>
      <c r="N13" s="1321"/>
      <c r="O13" s="1322"/>
      <c r="P13" s="1323"/>
      <c r="Q13" s="1319"/>
    </row>
    <row r="14" spans="1:17" ht="18" x14ac:dyDescent="0.2">
      <c r="A14" s="1320"/>
      <c r="B14" s="553" t="s">
        <v>1348</v>
      </c>
      <c r="C14" s="168"/>
      <c r="D14" s="159">
        <f t="shared" si="1"/>
        <v>100.53115407170527</v>
      </c>
      <c r="E14" s="164">
        <f>267.8+976.9+283.7+248.4+277.4+635.8</f>
        <v>2690</v>
      </c>
      <c r="F14" s="169">
        <v>21394272</v>
      </c>
      <c r="G14" s="170">
        <v>65905363</v>
      </c>
      <c r="H14" s="170">
        <v>20880497</v>
      </c>
      <c r="I14" s="171">
        <v>23179339</v>
      </c>
      <c r="J14" s="172">
        <v>25262790</v>
      </c>
      <c r="K14" s="172">
        <v>52433236</v>
      </c>
      <c r="L14" s="8"/>
      <c r="M14" s="427"/>
      <c r="N14" s="1321"/>
      <c r="O14" s="1322"/>
      <c r="P14" s="1323"/>
      <c r="Q14" s="1319"/>
    </row>
    <row r="15" spans="1:17" ht="18" x14ac:dyDescent="0.2">
      <c r="A15" s="1320"/>
      <c r="B15" s="2486" t="s">
        <v>2238</v>
      </c>
      <c r="C15" s="173"/>
      <c r="D15" s="159">
        <f t="shared" si="1"/>
        <v>100.57098050528181</v>
      </c>
      <c r="E15" s="1362">
        <f>140.9+489.9+155.6+138.2+140.9+319.3</f>
        <v>1384.8</v>
      </c>
      <c r="F15" s="174">
        <v>21407521</v>
      </c>
      <c r="G15" s="1648">
        <v>65958221</v>
      </c>
      <c r="H15" s="1648">
        <v>20887798</v>
      </c>
      <c r="I15" s="1652">
        <v>23191892</v>
      </c>
      <c r="J15" s="315">
        <v>25263907</v>
      </c>
      <c r="K15" s="315">
        <v>52434196</v>
      </c>
      <c r="L15" s="8"/>
      <c r="M15" s="427"/>
      <c r="N15" s="1321"/>
      <c r="O15" s="1322"/>
      <c r="P15" s="1323"/>
      <c r="Q15" s="1319"/>
    </row>
    <row r="16" spans="1:17" ht="18" x14ac:dyDescent="0.2">
      <c r="A16" s="1320"/>
      <c r="B16" s="2486" t="s">
        <v>2237</v>
      </c>
      <c r="C16" s="173"/>
      <c r="D16" s="159">
        <f t="shared" si="1"/>
        <v>100.6657325541324</v>
      </c>
      <c r="E16" s="164">
        <f>45.4+177.4+51.4+44.2+50.8+111.1</f>
        <v>480.29999999999995</v>
      </c>
      <c r="F16" s="174">
        <v>21429624</v>
      </c>
      <c r="G16" s="175">
        <v>66003031</v>
      </c>
      <c r="H16" s="175">
        <v>20905689</v>
      </c>
      <c r="I16" s="176">
        <v>23222394</v>
      </c>
      <c r="J16" s="172">
        <v>25289747</v>
      </c>
      <c r="K16" s="172">
        <v>52473036</v>
      </c>
      <c r="L16" s="8"/>
      <c r="M16" s="427"/>
      <c r="N16" s="1321"/>
      <c r="O16" s="1322"/>
      <c r="P16" s="1323"/>
      <c r="Q16" s="1319"/>
    </row>
    <row r="17" spans="1:17" ht="18" x14ac:dyDescent="0.2">
      <c r="A17" s="1320"/>
      <c r="B17" s="4710" t="s">
        <v>2001</v>
      </c>
      <c r="C17" s="227"/>
      <c r="D17" s="159">
        <f t="shared" si="1"/>
        <v>100.70916985502672</v>
      </c>
      <c r="E17" s="2321">
        <f>56.7+181.8+57.2+49.9+57.7+128.2</f>
        <v>531.5</v>
      </c>
      <c r="F17" s="174">
        <v>21406096</v>
      </c>
      <c r="G17" s="3182">
        <v>66051333</v>
      </c>
      <c r="H17" s="3182">
        <v>20922776</v>
      </c>
      <c r="I17" s="3183">
        <v>23267882</v>
      </c>
      <c r="J17" s="1814">
        <v>25295346</v>
      </c>
      <c r="K17" s="1814">
        <v>52469549</v>
      </c>
      <c r="L17" s="8"/>
      <c r="M17" s="427"/>
      <c r="N17" s="1321"/>
      <c r="O17" s="1322"/>
      <c r="P17" s="1323"/>
      <c r="Q17" s="1319"/>
    </row>
    <row r="18" spans="1:17" ht="18" customHeight="1" x14ac:dyDescent="0.2">
      <c r="A18" s="1320"/>
      <c r="B18" s="2952" t="s">
        <v>2236</v>
      </c>
      <c r="C18" s="202"/>
      <c r="D18" s="159">
        <f t="shared" si="1"/>
        <v>100.78197100381145</v>
      </c>
      <c r="E18" s="1362">
        <f>34.7+125.7+38.4+33.7+38.8+85.1</f>
        <v>356.4</v>
      </c>
      <c r="F18" s="1363">
        <v>21425821</v>
      </c>
      <c r="G18" s="1363">
        <v>66092960</v>
      </c>
      <c r="H18" s="1363">
        <v>20942438</v>
      </c>
      <c r="I18" s="392">
        <v>23285673</v>
      </c>
      <c r="J18" s="315">
        <v>25314366</v>
      </c>
      <c r="K18" s="315">
        <v>52486771</v>
      </c>
      <c r="L18" s="8"/>
      <c r="M18" s="427"/>
      <c r="N18" s="1321"/>
      <c r="O18" s="1322"/>
      <c r="P18" s="1323"/>
      <c r="Q18" s="1319"/>
    </row>
    <row r="19" spans="1:17" ht="18" customHeight="1" x14ac:dyDescent="0.2">
      <c r="A19" s="1320"/>
      <c r="B19" s="1691" t="s">
        <v>1350</v>
      </c>
      <c r="C19" s="2168"/>
      <c r="D19" s="159">
        <f t="shared" si="1"/>
        <v>100.83529066972562</v>
      </c>
      <c r="E19" s="204">
        <f>260.1+932.1+298.6+251.8+276.3+636.9</f>
        <v>2655.8</v>
      </c>
      <c r="F19" s="1812">
        <v>21409039</v>
      </c>
      <c r="G19" s="1812">
        <v>65924298</v>
      </c>
      <c r="H19" s="1812">
        <v>20891428</v>
      </c>
      <c r="I19" s="392">
        <v>23200462</v>
      </c>
      <c r="J19" s="1814">
        <v>25648461</v>
      </c>
      <c r="K19" s="1814">
        <v>52461823</v>
      </c>
      <c r="L19" s="8"/>
      <c r="M19" s="427"/>
      <c r="N19" s="1321"/>
      <c r="O19" s="1322"/>
      <c r="P19" s="1323"/>
      <c r="Q19" s="1319"/>
    </row>
    <row r="20" spans="1:17" ht="18" customHeight="1" x14ac:dyDescent="0.25">
      <c r="A20" s="1320"/>
      <c r="B20" s="553" t="s">
        <v>1349</v>
      </c>
      <c r="C20" s="2164"/>
      <c r="D20" s="159">
        <f t="shared" si="1"/>
        <v>100.83632366516511</v>
      </c>
      <c r="E20" s="204">
        <f>25.5+89.3+27.7+25.3+27.5+62.8</f>
        <v>258.10000000000002</v>
      </c>
      <c r="F20" s="1812">
        <v>21462685</v>
      </c>
      <c r="G20" s="1812">
        <v>65968862</v>
      </c>
      <c r="H20" s="1812">
        <v>20997533</v>
      </c>
      <c r="I20" s="392">
        <v>23186912</v>
      </c>
      <c r="J20" s="1814">
        <v>25483494</v>
      </c>
      <c r="K20" s="1814">
        <v>52403699</v>
      </c>
      <c r="L20" s="8"/>
      <c r="M20" s="427"/>
      <c r="N20" s="1321"/>
      <c r="O20" s="1322"/>
      <c r="P20" s="1323"/>
      <c r="Q20" s="1319"/>
    </row>
    <row r="21" spans="1:17" ht="18" customHeight="1" x14ac:dyDescent="0.2">
      <c r="A21" s="1320"/>
      <c r="B21" s="553" t="s">
        <v>1351</v>
      </c>
      <c r="C21" s="2168"/>
      <c r="D21" s="159">
        <f t="shared" si="1"/>
        <v>100.91231103815235</v>
      </c>
      <c r="E21" s="204">
        <f>28.6+100.3+30.8+27.3+30.6+69.2</f>
        <v>286.8</v>
      </c>
      <c r="F21" s="1812">
        <v>21435946</v>
      </c>
      <c r="G21" s="1812">
        <v>65855109</v>
      </c>
      <c r="H21" s="1812">
        <v>21064336</v>
      </c>
      <c r="I21" s="392">
        <v>23289649</v>
      </c>
      <c r="J21" s="1814">
        <v>25485901</v>
      </c>
      <c r="K21" s="1814">
        <v>52388822</v>
      </c>
      <c r="L21" s="8"/>
      <c r="M21" s="427"/>
      <c r="N21" s="1321"/>
      <c r="O21" s="1322"/>
      <c r="P21" s="1323"/>
      <c r="Q21" s="1319"/>
    </row>
    <row r="22" spans="1:17" ht="18" customHeight="1" x14ac:dyDescent="0.2">
      <c r="A22" s="1320"/>
      <c r="B22" s="2796" t="s">
        <v>1352</v>
      </c>
      <c r="C22" s="3110"/>
      <c r="D22" s="159">
        <f t="shared" si="1"/>
        <v>100.98854279607532</v>
      </c>
      <c r="E22" s="312">
        <f>161.5+566.6+173.2+150.9+168.2+375.5</f>
        <v>1595.9</v>
      </c>
      <c r="F22" s="1812">
        <v>21414633</v>
      </c>
      <c r="G22" s="1812">
        <v>66045189</v>
      </c>
      <c r="H22" s="1812">
        <v>20928375</v>
      </c>
      <c r="I22" s="392">
        <v>23279402</v>
      </c>
      <c r="J22" s="1814">
        <v>25687601</v>
      </c>
      <c r="K22" s="1814">
        <v>52477519</v>
      </c>
      <c r="L22" s="8"/>
      <c r="M22" s="427"/>
      <c r="N22" s="1321"/>
      <c r="O22" s="1322"/>
      <c r="P22" s="1323"/>
      <c r="Q22" s="1319"/>
    </row>
    <row r="23" spans="1:17" ht="18" customHeight="1" x14ac:dyDescent="0.2">
      <c r="A23" s="1320"/>
      <c r="B23" s="3333" t="s">
        <v>1353</v>
      </c>
      <c r="C23" s="3036"/>
      <c r="D23" s="159">
        <f t="shared" si="1"/>
        <v>101.15702585109368</v>
      </c>
      <c r="E23" s="2321">
        <f>18.9+66.4+20.7+18.6+20.7+46.8</f>
        <v>192.10000000000002</v>
      </c>
      <c r="F23" s="1812">
        <v>21583626</v>
      </c>
      <c r="G23" s="1812">
        <v>66168600</v>
      </c>
      <c r="H23" s="1812">
        <v>21057261</v>
      </c>
      <c r="I23" s="392">
        <v>23269869</v>
      </c>
      <c r="J23" s="1814">
        <v>25557810</v>
      </c>
      <c r="K23" s="1814">
        <v>52459861</v>
      </c>
      <c r="L23" s="8"/>
      <c r="M23" s="427"/>
      <c r="N23" s="1321"/>
      <c r="O23" s="1322"/>
      <c r="P23" s="1323"/>
      <c r="Q23" s="1319"/>
    </row>
    <row r="24" spans="1:17" ht="18" customHeight="1" x14ac:dyDescent="0.25">
      <c r="A24" s="1320"/>
      <c r="B24" s="1688" t="s">
        <v>1354</v>
      </c>
      <c r="C24" s="3050"/>
      <c r="D24" s="159">
        <f t="shared" si="1"/>
        <v>101.20201896412387</v>
      </c>
      <c r="E24" s="2321">
        <f>27.4+94.3+29.1+26.7+29.6+65</f>
        <v>272.09999999999997</v>
      </c>
      <c r="F24" s="1812">
        <v>21476583</v>
      </c>
      <c r="G24" s="1812">
        <v>65936413</v>
      </c>
      <c r="H24" s="1812">
        <v>21200966</v>
      </c>
      <c r="I24" s="392">
        <v>23319973</v>
      </c>
      <c r="J24" s="1814">
        <v>25571633</v>
      </c>
      <c r="K24" s="1814">
        <v>52542266</v>
      </c>
      <c r="L24" s="8"/>
      <c r="M24" s="427"/>
      <c r="N24" s="1321"/>
      <c r="O24" s="1322"/>
      <c r="P24" s="1323"/>
      <c r="Q24" s="1319"/>
    </row>
    <row r="25" spans="1:17" ht="18" customHeight="1" x14ac:dyDescent="0.2">
      <c r="A25" s="1320"/>
      <c r="B25" s="3104" t="s">
        <v>1355</v>
      </c>
      <c r="C25" s="3037"/>
      <c r="D25" s="159">
        <f t="shared" si="1"/>
        <v>101.33524137676405</v>
      </c>
      <c r="E25" s="2321">
        <f>27.1+98.8+30.4+26.6+28.7+66</f>
        <v>277.60000000000002</v>
      </c>
      <c r="F25" s="1812">
        <v>21457439</v>
      </c>
      <c r="G25" s="1812">
        <v>66142172</v>
      </c>
      <c r="H25" s="1812">
        <v>21021517</v>
      </c>
      <c r="I25" s="392">
        <v>23508884</v>
      </c>
      <c r="J25" s="1814">
        <v>25739164</v>
      </c>
      <c r="K25" s="1814">
        <v>52514789</v>
      </c>
      <c r="L25" s="8"/>
      <c r="M25" s="427"/>
      <c r="N25" s="1321"/>
      <c r="O25" s="1322"/>
      <c r="P25" s="1323"/>
      <c r="Q25" s="1319"/>
    </row>
    <row r="26" spans="1:17" ht="18" customHeight="1" x14ac:dyDescent="0.2">
      <c r="A26" s="1320"/>
      <c r="B26" s="553" t="s">
        <v>1356</v>
      </c>
      <c r="C26" s="2168"/>
      <c r="D26" s="159">
        <f t="shared" si="1"/>
        <v>101.41426186608371</v>
      </c>
      <c r="E26" s="204">
        <f>21.3+75.1+23.7+20.5+22.5+52.5</f>
        <v>215.6</v>
      </c>
      <c r="F26" s="1812">
        <v>21465370</v>
      </c>
      <c r="G26" s="1812">
        <v>66174736</v>
      </c>
      <c r="H26" s="1812">
        <v>21055736</v>
      </c>
      <c r="I26" s="392">
        <v>23551281</v>
      </c>
      <c r="J26" s="1814">
        <v>25748767</v>
      </c>
      <c r="K26" s="1814">
        <v>52513979</v>
      </c>
      <c r="L26" s="8"/>
      <c r="M26" s="427"/>
      <c r="N26" s="1321"/>
      <c r="O26" s="1322"/>
      <c r="P26" s="1323"/>
      <c r="Q26" s="1319"/>
    </row>
    <row r="27" spans="1:17" ht="18" customHeight="1" x14ac:dyDescent="0.2">
      <c r="A27" s="1320"/>
      <c r="B27" s="3334" t="s">
        <v>1376</v>
      </c>
      <c r="C27" s="1385" t="s">
        <v>40</v>
      </c>
      <c r="D27" s="159">
        <f t="shared" si="1"/>
        <v>102.10236901216756</v>
      </c>
      <c r="E27" s="1362">
        <f>13.1+44.2+13.6+11.8+13.1+30.3</f>
        <v>126.1</v>
      </c>
      <c r="F27" s="1363">
        <v>21773012</v>
      </c>
      <c r="G27" s="1363">
        <v>66797828</v>
      </c>
      <c r="H27" s="1406">
        <v>21499324</v>
      </c>
      <c r="I27" s="392">
        <v>23246616</v>
      </c>
      <c r="J27" s="315">
        <v>25823788</v>
      </c>
      <c r="K27" s="315">
        <v>52851284</v>
      </c>
      <c r="L27" s="8"/>
      <c r="M27" s="427"/>
      <c r="N27" s="1321"/>
      <c r="O27" s="1322"/>
      <c r="P27" s="1323"/>
      <c r="Q27" s="1319"/>
    </row>
    <row r="28" spans="1:17" ht="18" customHeight="1" x14ac:dyDescent="0.2">
      <c r="A28" s="1320"/>
      <c r="B28" s="3335" t="s">
        <v>1357</v>
      </c>
      <c r="C28" s="2414" t="s">
        <v>40</v>
      </c>
      <c r="D28" s="159">
        <f t="shared" si="1"/>
        <v>102.10366234017184</v>
      </c>
      <c r="E28" s="1362">
        <f>10.7+37.1+11.7+10.3+11.5+26.3</f>
        <v>107.6</v>
      </c>
      <c r="F28" s="308">
        <v>21773012</v>
      </c>
      <c r="G28" s="308">
        <v>66797828</v>
      </c>
      <c r="H28" s="308">
        <v>21499324</v>
      </c>
      <c r="I28" s="392">
        <v>23246616</v>
      </c>
      <c r="J28" s="315">
        <v>25823788</v>
      </c>
      <c r="K28" s="315">
        <v>52855336</v>
      </c>
      <c r="L28" s="8"/>
      <c r="M28" s="427"/>
      <c r="N28" s="1321"/>
      <c r="O28" s="1322"/>
      <c r="P28" s="1323"/>
      <c r="Q28" s="1319"/>
    </row>
    <row r="29" spans="1:17" ht="18" customHeight="1" x14ac:dyDescent="0.25">
      <c r="A29" s="1320"/>
      <c r="B29" s="553" t="s">
        <v>1358</v>
      </c>
      <c r="C29" s="3176"/>
      <c r="D29" s="159">
        <f t="shared" si="1"/>
        <v>102.60412021323609</v>
      </c>
      <c r="E29" s="164"/>
      <c r="F29" s="1363">
        <v>21655480</v>
      </c>
      <c r="G29" s="1363">
        <v>67062391</v>
      </c>
      <c r="H29" s="1406">
        <v>21510660</v>
      </c>
      <c r="I29" s="172">
        <v>23784675</v>
      </c>
      <c r="J29" s="172">
        <v>25908260</v>
      </c>
      <c r="K29" s="172">
        <v>53063730</v>
      </c>
      <c r="L29" s="8"/>
      <c r="M29" s="427"/>
      <c r="N29" s="1321"/>
      <c r="O29" s="1322"/>
      <c r="P29" s="1323"/>
      <c r="Q29" s="1319"/>
    </row>
    <row r="30" spans="1:17" ht="18" customHeight="1" x14ac:dyDescent="0.2">
      <c r="A30" s="1320"/>
      <c r="B30" s="1408" t="s">
        <v>958</v>
      </c>
      <c r="C30" s="227"/>
      <c r="D30" s="159">
        <f t="shared" si="1"/>
        <v>102.68558105122597</v>
      </c>
      <c r="E30" s="204"/>
      <c r="F30" s="177">
        <v>22205242</v>
      </c>
      <c r="G30" s="395">
        <v>66782859</v>
      </c>
      <c r="H30" s="395">
        <v>21317921</v>
      </c>
      <c r="I30" s="315">
        <v>23868479</v>
      </c>
      <c r="J30" s="315">
        <v>25747527</v>
      </c>
      <c r="K30" s="315">
        <v>52818866</v>
      </c>
      <c r="L30" s="8"/>
      <c r="M30" s="427"/>
      <c r="N30" s="1321"/>
      <c r="O30" s="1322"/>
      <c r="P30" s="1323"/>
      <c r="Q30" s="1319"/>
    </row>
    <row r="31" spans="1:17" ht="18" x14ac:dyDescent="0.25">
      <c r="A31" s="1324"/>
      <c r="B31" s="497" t="s">
        <v>2072</v>
      </c>
      <c r="C31" s="200"/>
      <c r="D31" s="159">
        <f t="shared" si="1"/>
        <v>102.8211606525079</v>
      </c>
      <c r="E31" s="164">
        <f>6.85+22.71+7.36+6.57+7.16+15.89</f>
        <v>66.540000000000006</v>
      </c>
      <c r="F31" s="179">
        <v>21773958</v>
      </c>
      <c r="G31" s="180">
        <v>66940872</v>
      </c>
      <c r="H31" s="181">
        <v>21667444</v>
      </c>
      <c r="I31" s="182">
        <v>23709460</v>
      </c>
      <c r="J31" s="182">
        <v>25978223</v>
      </c>
      <c r="K31" s="182">
        <v>53183787</v>
      </c>
      <c r="L31" s="8"/>
      <c r="M31" s="1326"/>
      <c r="N31" s="1327"/>
      <c r="O31" s="1322"/>
      <c r="P31" s="1323"/>
      <c r="Q31" s="1319"/>
    </row>
    <row r="32" spans="1:17" ht="18" x14ac:dyDescent="0.25">
      <c r="A32" s="1324"/>
      <c r="B32" s="3108" t="s">
        <v>1377</v>
      </c>
      <c r="C32" s="200"/>
      <c r="D32" s="159">
        <f t="shared" si="1"/>
        <v>102.84239421713121</v>
      </c>
      <c r="E32" s="164">
        <f>3.17+6.61+2.71+2.77+2.64+6.16</f>
        <v>24.060000000000002</v>
      </c>
      <c r="F32" s="179">
        <v>21739304</v>
      </c>
      <c r="G32" s="181">
        <v>66757360</v>
      </c>
      <c r="H32" s="181">
        <v>21603658</v>
      </c>
      <c r="I32" s="181">
        <v>23934526</v>
      </c>
      <c r="J32" s="181">
        <v>26003946</v>
      </c>
      <c r="K32" s="181">
        <v>53071484</v>
      </c>
      <c r="L32" s="1340"/>
      <c r="M32" s="1326"/>
      <c r="N32" s="1327"/>
      <c r="O32" s="1322"/>
      <c r="P32" s="1323"/>
      <c r="Q32" s="1319"/>
    </row>
    <row r="33" spans="1:17" ht="18" x14ac:dyDescent="0.25">
      <c r="A33" s="1324"/>
      <c r="B33" s="3035" t="s">
        <v>1359</v>
      </c>
      <c r="C33" s="201"/>
      <c r="D33" s="159">
        <f t="shared" si="1"/>
        <v>102.84239421713121</v>
      </c>
      <c r="E33" s="164">
        <f>6.85+18.59+7.52+7.88+7.23+16.71</f>
        <v>64.78</v>
      </c>
      <c r="F33" s="179">
        <v>21739304</v>
      </c>
      <c r="G33" s="183">
        <v>66757360</v>
      </c>
      <c r="H33" s="183">
        <v>21603658</v>
      </c>
      <c r="I33" s="184">
        <v>23934526</v>
      </c>
      <c r="J33" s="184">
        <v>26003946</v>
      </c>
      <c r="K33" s="185">
        <v>53071484</v>
      </c>
      <c r="L33" s="437"/>
      <c r="M33" s="1326"/>
      <c r="N33" s="1327"/>
      <c r="O33" s="1322"/>
      <c r="P33" s="1323"/>
      <c r="Q33" s="1319"/>
    </row>
    <row r="34" spans="1:17" ht="18" customHeight="1" x14ac:dyDescent="0.2">
      <c r="A34" s="1324"/>
      <c r="B34" s="1370" t="s">
        <v>1753</v>
      </c>
      <c r="C34" s="201" t="s">
        <v>40</v>
      </c>
      <c r="D34" s="159">
        <f t="shared" si="1"/>
        <v>103.03102494437766</v>
      </c>
      <c r="E34" s="164">
        <f>112.3+323.8+132.2+154.5+112.7+239.3</f>
        <v>1074.8</v>
      </c>
      <c r="F34" s="179">
        <v>21709126</v>
      </c>
      <c r="G34" s="180">
        <v>66303381</v>
      </c>
      <c r="H34" s="181">
        <v>21769644</v>
      </c>
      <c r="I34" s="182">
        <v>24155223</v>
      </c>
      <c r="J34" s="182">
        <v>26023095</v>
      </c>
      <c r="K34" s="182">
        <v>53133137</v>
      </c>
      <c r="L34" s="8"/>
      <c r="M34" s="1326"/>
      <c r="N34" s="1328"/>
      <c r="O34" s="1322"/>
      <c r="P34" s="1323"/>
      <c r="Q34" s="1319"/>
    </row>
    <row r="35" spans="1:17" ht="18" customHeight="1" x14ac:dyDescent="0.2">
      <c r="A35" s="1324"/>
      <c r="B35" s="497" t="s">
        <v>2559</v>
      </c>
      <c r="C35" s="178"/>
      <c r="D35" s="159">
        <f t="shared" si="1"/>
        <v>103.46989873176331</v>
      </c>
      <c r="E35" s="164">
        <f>359.1+1451.5+534.8+571+382.2+996.8</f>
        <v>4295.3999999999996</v>
      </c>
      <c r="F35" s="179">
        <v>21893093</v>
      </c>
      <c r="G35" s="180">
        <v>67437080</v>
      </c>
      <c r="H35" s="181">
        <v>21627860</v>
      </c>
      <c r="I35" s="187">
        <v>24145534</v>
      </c>
      <c r="J35" s="188">
        <v>26097298</v>
      </c>
      <c r="K35" s="188">
        <v>53384017</v>
      </c>
      <c r="L35" s="8"/>
      <c r="M35" s="1326"/>
      <c r="N35" s="1328"/>
      <c r="O35" s="1322"/>
      <c r="P35" s="1323"/>
      <c r="Q35" s="1319"/>
    </row>
    <row r="36" spans="1:17" ht="18" customHeight="1" x14ac:dyDescent="0.2">
      <c r="A36" s="1324"/>
      <c r="B36" s="2313" t="s">
        <v>2556</v>
      </c>
      <c r="C36" s="178"/>
      <c r="D36" s="159">
        <f t="shared" si="1"/>
        <v>103.94743793649405</v>
      </c>
      <c r="E36" s="164">
        <f>61.42+227.23+73.27+57.93+64.27+158.88</f>
        <v>643</v>
      </c>
      <c r="F36" s="179">
        <v>22027556</v>
      </c>
      <c r="G36" s="180">
        <v>67577984</v>
      </c>
      <c r="H36" s="181">
        <v>21911818</v>
      </c>
      <c r="I36" s="187">
        <v>24226755</v>
      </c>
      <c r="J36" s="189">
        <v>26108761</v>
      </c>
      <c r="K36" s="189">
        <v>53515311</v>
      </c>
      <c r="L36" s="8"/>
      <c r="M36" s="1326"/>
      <c r="N36" s="1328"/>
      <c r="O36" s="1322"/>
      <c r="P36" s="1323"/>
      <c r="Q36" s="1319"/>
    </row>
    <row r="37" spans="1:17" ht="18" customHeight="1" x14ac:dyDescent="0.25">
      <c r="A37" s="1324" t="s">
        <v>927</v>
      </c>
      <c r="B37" s="497" t="s">
        <v>1382</v>
      </c>
      <c r="C37" s="190" t="s">
        <v>40</v>
      </c>
      <c r="D37" s="159">
        <f t="shared" si="1"/>
        <v>103.98026071551185</v>
      </c>
      <c r="E37" s="164">
        <f>1345.56+4746.71+1583.38+1300.1+1409.13+3278.44</f>
        <v>13663.320000000002</v>
      </c>
      <c r="F37" s="191">
        <v>22091043</v>
      </c>
      <c r="G37" s="192">
        <v>67934844</v>
      </c>
      <c r="H37" s="193">
        <v>21791361</v>
      </c>
      <c r="I37" s="182">
        <v>24138609</v>
      </c>
      <c r="J37" s="182">
        <v>26143247</v>
      </c>
      <c r="K37" s="182">
        <v>53613491</v>
      </c>
      <c r="L37" s="8"/>
      <c r="M37" s="1326"/>
      <c r="N37" s="1327"/>
      <c r="O37" s="1322"/>
      <c r="P37" s="1323"/>
      <c r="Q37" s="1319"/>
    </row>
    <row r="38" spans="1:17" ht="18" customHeight="1" x14ac:dyDescent="0.25">
      <c r="A38" s="1324"/>
      <c r="B38" s="1706" t="s">
        <v>928</v>
      </c>
      <c r="C38" s="251"/>
      <c r="D38" s="159">
        <f t="shared" si="1"/>
        <v>103.99123162220813</v>
      </c>
      <c r="E38" s="164">
        <f>2.2+7.9+2.5+2.1+2.4+5.5</f>
        <v>22.6</v>
      </c>
      <c r="F38" s="194">
        <v>21969566</v>
      </c>
      <c r="G38" s="195">
        <v>67348121</v>
      </c>
      <c r="H38" s="195">
        <v>22271072</v>
      </c>
      <c r="I38" s="196">
        <v>24189941</v>
      </c>
      <c r="J38" s="196">
        <v>26001548</v>
      </c>
      <c r="K38" s="196">
        <v>53379740</v>
      </c>
      <c r="L38" s="8"/>
      <c r="M38" s="1326"/>
      <c r="N38" s="1327"/>
      <c r="O38" s="1322"/>
      <c r="P38" s="1323"/>
      <c r="Q38" s="1319"/>
    </row>
    <row r="39" spans="1:17" ht="18" customHeight="1" x14ac:dyDescent="0.2">
      <c r="A39" s="1324"/>
      <c r="B39" s="2488" t="s">
        <v>1388</v>
      </c>
      <c r="C39" s="201" t="s">
        <v>40</v>
      </c>
      <c r="D39" s="159">
        <f t="shared" si="1"/>
        <v>104.16496085151262</v>
      </c>
      <c r="E39" s="164"/>
      <c r="F39" s="197">
        <v>22053510</v>
      </c>
      <c r="G39" s="198">
        <v>67999984</v>
      </c>
      <c r="H39" s="199">
        <v>22136677</v>
      </c>
      <c r="I39" s="182">
        <v>24194077</v>
      </c>
      <c r="J39" s="182">
        <v>26042422</v>
      </c>
      <c r="K39" s="182">
        <v>53445490</v>
      </c>
      <c r="L39" s="8"/>
      <c r="M39" s="427"/>
      <c r="N39" s="1321"/>
      <c r="O39" s="1322"/>
      <c r="P39" s="1323"/>
      <c r="Q39" s="1319"/>
    </row>
    <row r="40" spans="1:17" ht="18" customHeight="1" x14ac:dyDescent="0.2">
      <c r="A40" s="1324"/>
      <c r="B40" s="497" t="s">
        <v>1360</v>
      </c>
      <c r="C40" s="201" t="s">
        <v>40</v>
      </c>
      <c r="D40" s="159">
        <f t="shared" ref="D40:D66" si="2">SUM(F40/F$11,G40/G$11,H40/H$11,I40/I$11,J40/J$11,K40/K$11)/6*100</f>
        <v>104.55384745916996</v>
      </c>
      <c r="E40" s="164">
        <f>107.19+398.69+124.19+105.66+125.68+252.78</f>
        <v>1114.1899999999998</v>
      </c>
      <c r="F40" s="179">
        <v>22091988</v>
      </c>
      <c r="G40" s="180">
        <v>67852928</v>
      </c>
      <c r="H40" s="181">
        <v>22165314</v>
      </c>
      <c r="I40" s="182">
        <v>24367168</v>
      </c>
      <c r="J40" s="182">
        <v>26364854</v>
      </c>
      <c r="K40" s="182">
        <v>53550694</v>
      </c>
      <c r="L40" s="8"/>
      <c r="M40" s="427"/>
      <c r="N40" s="1321"/>
      <c r="O40" s="1322"/>
      <c r="P40" s="1323"/>
      <c r="Q40" s="1319"/>
    </row>
    <row r="41" spans="1:17" ht="18" customHeight="1" x14ac:dyDescent="0.2">
      <c r="A41" s="1324"/>
      <c r="B41" s="2313" t="s">
        <v>1380</v>
      </c>
      <c r="C41" s="201" t="s">
        <v>40</v>
      </c>
      <c r="D41" s="159">
        <f t="shared" si="2"/>
        <v>104.55384745916996</v>
      </c>
      <c r="E41" s="164">
        <f>106.53+387.54+119.96+104.3+123.33+248.63</f>
        <v>1090.29</v>
      </c>
      <c r="F41" s="179">
        <v>22091988</v>
      </c>
      <c r="G41" s="180">
        <v>67852928</v>
      </c>
      <c r="H41" s="181">
        <v>22165314</v>
      </c>
      <c r="I41" s="182">
        <v>24367168</v>
      </c>
      <c r="J41" s="182">
        <v>26364854</v>
      </c>
      <c r="K41" s="182">
        <v>53550694</v>
      </c>
      <c r="L41" s="8"/>
      <c r="M41" s="427"/>
      <c r="N41" s="1321"/>
      <c r="O41" s="1322"/>
      <c r="P41" s="1323"/>
      <c r="Q41" s="1319"/>
    </row>
    <row r="42" spans="1:17" ht="18" customHeight="1" x14ac:dyDescent="0.2">
      <c r="A42" s="1324"/>
      <c r="B42" s="497" t="s">
        <v>1386</v>
      </c>
      <c r="C42" s="3111"/>
      <c r="D42" s="159">
        <f t="shared" si="2"/>
        <v>104.65493019815926</v>
      </c>
      <c r="E42" s="164">
        <f>17.6+48.8+22.8+22.8+13+36.2</f>
        <v>161.19999999999999</v>
      </c>
      <c r="F42" s="194">
        <v>21916318</v>
      </c>
      <c r="G42" s="195">
        <v>68189643</v>
      </c>
      <c r="H42" s="195">
        <v>22432156</v>
      </c>
      <c r="I42" s="196">
        <v>24246763</v>
      </c>
      <c r="J42" s="196">
        <v>26331073</v>
      </c>
      <c r="K42" s="196">
        <v>53705839</v>
      </c>
      <c r="L42" s="8"/>
      <c r="M42" s="427"/>
      <c r="N42" s="1321"/>
      <c r="O42" s="1322"/>
      <c r="P42" s="1323"/>
      <c r="Q42" s="1319"/>
    </row>
    <row r="43" spans="1:17" ht="18" customHeight="1" x14ac:dyDescent="0.2">
      <c r="A43" s="1324"/>
      <c r="B43" s="524" t="s">
        <v>1361</v>
      </c>
      <c r="C43" s="201" t="s">
        <v>40</v>
      </c>
      <c r="D43" s="159">
        <f t="shared" si="2"/>
        <v>104.73553510866358</v>
      </c>
      <c r="E43" s="164">
        <f>307.2+1011.8+311.8+273.9+318.2+721.5</f>
        <v>2944.3999999999996</v>
      </c>
      <c r="F43" s="179">
        <v>23406780</v>
      </c>
      <c r="G43" s="180">
        <v>66400907</v>
      </c>
      <c r="H43" s="181">
        <v>21499324</v>
      </c>
      <c r="I43" s="182">
        <v>23658029</v>
      </c>
      <c r="J43" s="182">
        <v>26513997</v>
      </c>
      <c r="K43" s="182">
        <v>55044627</v>
      </c>
      <c r="L43" s="8"/>
      <c r="M43" s="427"/>
      <c r="N43" s="1321"/>
      <c r="O43" s="1322"/>
      <c r="P43" s="1323"/>
      <c r="Q43" s="1319"/>
    </row>
    <row r="44" spans="1:17" ht="18" x14ac:dyDescent="0.2">
      <c r="A44" s="1324"/>
      <c r="B44" s="497" t="s">
        <v>1746</v>
      </c>
      <c r="C44" s="178"/>
      <c r="D44" s="159">
        <f t="shared" si="2"/>
        <v>105.12382200323816</v>
      </c>
      <c r="E44" s="164"/>
      <c r="F44" s="179">
        <v>22138600</v>
      </c>
      <c r="G44" s="180">
        <v>68465350</v>
      </c>
      <c r="H44" s="181">
        <v>22402562</v>
      </c>
      <c r="I44" s="182">
        <v>24416214</v>
      </c>
      <c r="J44" s="182">
        <v>26530666</v>
      </c>
      <c r="K44" s="182">
        <v>53685048</v>
      </c>
      <c r="L44" s="8"/>
      <c r="M44" s="427"/>
      <c r="N44" s="1321"/>
      <c r="O44" s="1322"/>
      <c r="P44" s="1323"/>
      <c r="Q44" s="1319"/>
    </row>
    <row r="45" spans="1:17" ht="18" x14ac:dyDescent="0.2">
      <c r="A45" s="1324"/>
      <c r="B45" s="497" t="s">
        <v>1389</v>
      </c>
      <c r="C45" s="203"/>
      <c r="D45" s="159">
        <f t="shared" si="2"/>
        <v>105.63316764647095</v>
      </c>
      <c r="E45" s="164">
        <f>6.8+21.3+6.9+7+7.2+14.7</f>
        <v>63.900000000000006</v>
      </c>
      <c r="F45" s="179">
        <v>22209762</v>
      </c>
      <c r="G45" s="180">
        <v>68265826</v>
      </c>
      <c r="H45" s="181">
        <v>22470393</v>
      </c>
      <c r="I45" s="182">
        <v>24797558</v>
      </c>
      <c r="J45" s="182">
        <v>26569292</v>
      </c>
      <c r="K45" s="182">
        <v>54139508</v>
      </c>
      <c r="L45" s="8"/>
      <c r="M45" s="427"/>
      <c r="N45" s="1321"/>
      <c r="O45" s="1322"/>
      <c r="P45" s="1323"/>
      <c r="Q45" s="1319"/>
    </row>
    <row r="46" spans="1:17" ht="18" customHeight="1" x14ac:dyDescent="0.2">
      <c r="A46" s="1324"/>
      <c r="B46" s="497" t="s">
        <v>948</v>
      </c>
      <c r="C46" s="178"/>
      <c r="D46" s="159">
        <f t="shared" si="2"/>
        <v>105.67550255411165</v>
      </c>
      <c r="E46" s="164"/>
      <c r="F46" s="179">
        <v>22224557</v>
      </c>
      <c r="G46" s="180">
        <v>68433761</v>
      </c>
      <c r="H46" s="181">
        <v>22507079</v>
      </c>
      <c r="I46" s="182">
        <v>24660843</v>
      </c>
      <c r="J46" s="182">
        <v>26678924</v>
      </c>
      <c r="K46" s="182">
        <v>54097600</v>
      </c>
      <c r="L46" s="8"/>
      <c r="M46" s="427"/>
      <c r="N46" s="1321"/>
      <c r="O46" s="1322"/>
      <c r="P46" s="1323"/>
      <c r="Q46" s="1319"/>
    </row>
    <row r="47" spans="1:17" ht="18" x14ac:dyDescent="0.2">
      <c r="A47" s="1324"/>
      <c r="B47" s="524" t="s">
        <v>1362</v>
      </c>
      <c r="C47" s="201" t="s">
        <v>40</v>
      </c>
      <c r="D47" s="159">
        <f t="shared" si="2"/>
        <v>105.68707429755658</v>
      </c>
      <c r="E47" s="164">
        <f>3.34+11.48+3.66+3.2+3.73+7.54</f>
        <v>32.950000000000003</v>
      </c>
      <c r="F47" s="179">
        <v>22277702</v>
      </c>
      <c r="G47" s="180">
        <v>68406715</v>
      </c>
      <c r="H47" s="181">
        <v>22504084</v>
      </c>
      <c r="I47" s="182">
        <v>24782201</v>
      </c>
      <c r="J47" s="182">
        <v>26479587</v>
      </c>
      <c r="K47" s="182">
        <v>54166279</v>
      </c>
      <c r="L47" s="8"/>
      <c r="M47" s="427"/>
      <c r="N47" s="1321"/>
      <c r="O47" s="1322"/>
      <c r="P47" s="1323"/>
      <c r="Q47" s="1319"/>
    </row>
    <row r="48" spans="1:17" ht="18" x14ac:dyDescent="0.2">
      <c r="A48" s="1324"/>
      <c r="B48" s="497" t="s">
        <v>1378</v>
      </c>
      <c r="C48" s="201" t="s">
        <v>40</v>
      </c>
      <c r="D48" s="159">
        <f t="shared" si="2"/>
        <v>105.94162362847352</v>
      </c>
      <c r="E48" s="164">
        <f>1.09+3.79+1.28+1.09+1.17+2.76</f>
        <v>11.18</v>
      </c>
      <c r="F48" s="194">
        <v>22433587</v>
      </c>
      <c r="G48" s="195">
        <v>69078974</v>
      </c>
      <c r="H48" s="195">
        <v>22559221</v>
      </c>
      <c r="I48" s="196">
        <v>24421504</v>
      </c>
      <c r="J48" s="196">
        <v>26781826</v>
      </c>
      <c r="K48" s="196">
        <v>54113269</v>
      </c>
      <c r="L48" s="8"/>
      <c r="M48" s="427"/>
      <c r="N48" s="1321"/>
      <c r="O48" s="1322"/>
      <c r="P48" s="1323"/>
      <c r="Q48" s="1319"/>
    </row>
    <row r="49" spans="1:17" ht="18" x14ac:dyDescent="0.2">
      <c r="A49" s="1324"/>
      <c r="B49" s="2488" t="s">
        <v>1385</v>
      </c>
      <c r="C49" s="201" t="s">
        <v>40</v>
      </c>
      <c r="D49" s="159">
        <f t="shared" si="2"/>
        <v>106.00432539547685</v>
      </c>
      <c r="E49" s="164">
        <f>12.6+44.4+14+12.3+13.4+30.8</f>
        <v>127.5</v>
      </c>
      <c r="F49" s="179">
        <v>22323943</v>
      </c>
      <c r="G49" s="180">
        <v>68407501</v>
      </c>
      <c r="H49" s="181">
        <v>22614769</v>
      </c>
      <c r="I49" s="182">
        <v>24901467</v>
      </c>
      <c r="J49" s="182">
        <v>26554824</v>
      </c>
      <c r="K49" s="182">
        <v>54338990</v>
      </c>
      <c r="L49" s="8"/>
      <c r="M49" s="427"/>
      <c r="N49" s="1321"/>
      <c r="O49" s="1322"/>
      <c r="P49" s="1323"/>
      <c r="Q49" s="1319"/>
    </row>
    <row r="50" spans="1:17" ht="18" x14ac:dyDescent="0.2">
      <c r="A50" s="1324"/>
      <c r="B50" s="2313" t="s">
        <v>2557</v>
      </c>
      <c r="C50" s="190"/>
      <c r="D50" s="159">
        <f t="shared" si="2"/>
        <v>106.14997361525873</v>
      </c>
      <c r="E50" s="164">
        <f>942.8+2894.5+830+843.6+901.9+2143.8</f>
        <v>8556.6</v>
      </c>
      <c r="F50" s="191">
        <v>25572136</v>
      </c>
      <c r="G50" s="192">
        <v>67361572</v>
      </c>
      <c r="H50" s="193">
        <v>21518930</v>
      </c>
      <c r="I50" s="182">
        <v>24089080</v>
      </c>
      <c r="J50" s="182">
        <v>26047425</v>
      </c>
      <c r="K50" s="182">
        <v>53338231</v>
      </c>
      <c r="L50" s="8"/>
      <c r="M50" s="427"/>
      <c r="N50" s="1321"/>
      <c r="O50" s="1322"/>
      <c r="P50" s="1323"/>
      <c r="Q50" s="1319"/>
    </row>
    <row r="51" spans="1:17" ht="18" x14ac:dyDescent="0.2">
      <c r="A51" s="1324"/>
      <c r="B51" s="4711" t="s">
        <v>2574</v>
      </c>
      <c r="C51" s="178"/>
      <c r="D51" s="159">
        <f t="shared" si="2"/>
        <v>106.28894836938304</v>
      </c>
      <c r="E51" s="164">
        <f>697+1973.2+575.7+523.1+603.2+1296.3</f>
        <v>5668.5</v>
      </c>
      <c r="F51" s="179">
        <v>25570710</v>
      </c>
      <c r="G51" s="180">
        <v>67401917</v>
      </c>
      <c r="H51" s="181">
        <v>21602463</v>
      </c>
      <c r="I51" s="182">
        <v>24138157</v>
      </c>
      <c r="J51" s="182">
        <v>26086816</v>
      </c>
      <c r="K51" s="182">
        <v>53341138</v>
      </c>
      <c r="L51" s="8"/>
      <c r="M51" s="427"/>
      <c r="N51" s="1329"/>
      <c r="O51" s="1322"/>
      <c r="P51" s="1323"/>
      <c r="Q51" s="1319"/>
    </row>
    <row r="52" spans="1:17" ht="18" x14ac:dyDescent="0.2">
      <c r="A52" s="1324"/>
      <c r="B52" s="1371" t="s">
        <v>1363</v>
      </c>
      <c r="C52" s="203"/>
      <c r="D52" s="159">
        <f t="shared" si="2"/>
        <v>106.56306849146287</v>
      </c>
      <c r="E52" s="164"/>
      <c r="F52" s="191">
        <v>22349704</v>
      </c>
      <c r="G52" s="192">
        <v>69230650</v>
      </c>
      <c r="H52" s="193">
        <v>22568666</v>
      </c>
      <c r="I52" s="182">
        <v>24824110</v>
      </c>
      <c r="J52" s="182">
        <v>27141458</v>
      </c>
      <c r="K52" s="182">
        <v>54454613</v>
      </c>
      <c r="L52" s="8"/>
      <c r="M52" s="427"/>
      <c r="N52" s="1321"/>
      <c r="O52" s="1322"/>
      <c r="P52" s="1323"/>
      <c r="Q52" s="1319"/>
    </row>
    <row r="53" spans="1:17" ht="18" x14ac:dyDescent="0.2">
      <c r="A53" s="1324"/>
      <c r="B53" s="3109" t="s">
        <v>1379</v>
      </c>
      <c r="C53" s="201" t="s">
        <v>40</v>
      </c>
      <c r="D53" s="159">
        <f t="shared" si="2"/>
        <v>106.59639176433843</v>
      </c>
      <c r="E53" s="164">
        <f>4.4+14.6+4.8+4.4+4.8+10.9</f>
        <v>43.9</v>
      </c>
      <c r="F53" s="179">
        <v>22369551</v>
      </c>
      <c r="G53" s="180">
        <v>69546120</v>
      </c>
      <c r="H53" s="181">
        <v>22708276</v>
      </c>
      <c r="I53" s="182">
        <v>24927456</v>
      </c>
      <c r="J53" s="182">
        <v>26791860</v>
      </c>
      <c r="K53" s="182">
        <v>54394816</v>
      </c>
      <c r="L53" s="8"/>
      <c r="M53" s="427"/>
      <c r="N53" s="1321"/>
      <c r="O53" s="1322"/>
      <c r="P53" s="1323"/>
      <c r="Q53" s="1319"/>
    </row>
    <row r="54" spans="1:17" ht="18" x14ac:dyDescent="0.25">
      <c r="A54" s="1324" t="s">
        <v>929</v>
      </c>
      <c r="B54" s="2488" t="s">
        <v>2082</v>
      </c>
      <c r="C54" s="201" t="s">
        <v>40</v>
      </c>
      <c r="D54" s="159">
        <f t="shared" si="2"/>
        <v>106.59652512119536</v>
      </c>
      <c r="E54" s="164">
        <f>3.6+12+4+3.6+3.8+8.8</f>
        <v>35.800000000000004</v>
      </c>
      <c r="F54" s="179">
        <v>22369503</v>
      </c>
      <c r="G54" s="180">
        <v>69547135</v>
      </c>
      <c r="H54" s="181">
        <v>22708163</v>
      </c>
      <c r="I54" s="182">
        <v>24927481</v>
      </c>
      <c r="J54" s="182">
        <v>26791804</v>
      </c>
      <c r="K54" s="182">
        <v>54394889</v>
      </c>
      <c r="L54" s="8"/>
      <c r="M54" s="427"/>
      <c r="N54" s="1327"/>
      <c r="O54" s="1322"/>
      <c r="P54" s="1323"/>
      <c r="Q54" s="1319"/>
    </row>
    <row r="55" spans="1:17" ht="18" customHeight="1" x14ac:dyDescent="0.2">
      <c r="A55" s="1324"/>
      <c r="B55" s="497" t="s">
        <v>1364</v>
      </c>
      <c r="C55" s="178"/>
      <c r="D55" s="159">
        <f t="shared" si="2"/>
        <v>106.67319378869816</v>
      </c>
      <c r="E55" s="164">
        <f>6.8+28.4+7.7+9.9+7.6+18.6</f>
        <v>79</v>
      </c>
      <c r="F55" s="191">
        <v>22448909</v>
      </c>
      <c r="G55" s="192">
        <v>67870781</v>
      </c>
      <c r="H55" s="193">
        <v>22421444</v>
      </c>
      <c r="I55" s="182">
        <v>26244022</v>
      </c>
      <c r="J55" s="182">
        <v>26478796</v>
      </c>
      <c r="K55" s="182">
        <v>54117022</v>
      </c>
      <c r="L55" s="8"/>
      <c r="M55" s="1326"/>
      <c r="N55" s="1321"/>
      <c r="O55" s="1322"/>
      <c r="P55" s="1323"/>
      <c r="Q55" s="1319"/>
    </row>
    <row r="56" spans="1:17" ht="18" x14ac:dyDescent="0.25">
      <c r="A56" s="1324" t="s">
        <v>930</v>
      </c>
      <c r="B56" s="497" t="s">
        <v>1365</v>
      </c>
      <c r="C56" s="201" t="s">
        <v>40</v>
      </c>
      <c r="D56" s="159">
        <f t="shared" si="2"/>
        <v>106.83616823448456</v>
      </c>
      <c r="E56" s="164">
        <f>2.23+5.04+1.78+1.44+1.6+3.76</f>
        <v>15.849999999999998</v>
      </c>
      <c r="F56" s="191">
        <v>22476052</v>
      </c>
      <c r="G56" s="192">
        <v>69763820</v>
      </c>
      <c r="H56" s="193">
        <v>22889216</v>
      </c>
      <c r="I56" s="182">
        <v>24579496</v>
      </c>
      <c r="J56" s="182">
        <v>27105996</v>
      </c>
      <c r="K56" s="182">
        <v>54406810</v>
      </c>
      <c r="L56" s="8"/>
      <c r="M56" s="427"/>
      <c r="N56" s="1327"/>
      <c r="O56" s="1322"/>
      <c r="P56" s="1323"/>
      <c r="Q56" s="1319"/>
    </row>
    <row r="57" spans="1:17" ht="18" x14ac:dyDescent="0.25">
      <c r="A57" s="1324"/>
      <c r="B57" s="2313" t="s">
        <v>1381</v>
      </c>
      <c r="C57" s="201" t="s">
        <v>40</v>
      </c>
      <c r="D57" s="159">
        <f t="shared" si="2"/>
        <v>106.83616823448456</v>
      </c>
      <c r="E57" s="164">
        <f>1.39+4.4+1.31+1.26+1.31+2.74</f>
        <v>12.41</v>
      </c>
      <c r="F57" s="194">
        <v>22476052</v>
      </c>
      <c r="G57" s="195">
        <v>69763820</v>
      </c>
      <c r="H57" s="195">
        <v>22889216</v>
      </c>
      <c r="I57" s="196">
        <v>24579496</v>
      </c>
      <c r="J57" s="196">
        <v>27105996</v>
      </c>
      <c r="K57" s="196">
        <v>54406810</v>
      </c>
      <c r="L57" s="8"/>
      <c r="M57" s="427"/>
      <c r="N57" s="1327"/>
      <c r="O57" s="1322"/>
      <c r="P57" s="1323"/>
      <c r="Q57" s="1319"/>
    </row>
    <row r="58" spans="1:17" ht="18" x14ac:dyDescent="0.25">
      <c r="A58" s="1324"/>
      <c r="B58" s="4712" t="s">
        <v>2502</v>
      </c>
      <c r="C58" s="3112" t="s">
        <v>40</v>
      </c>
      <c r="D58" s="159">
        <f t="shared" si="2"/>
        <v>107.11659972605567</v>
      </c>
      <c r="E58" s="204">
        <f>1779.01+6196.24+1958.75+4545.14+4922.83+4963.93</f>
        <v>24365.9</v>
      </c>
      <c r="F58" s="194">
        <v>21933565</v>
      </c>
      <c r="G58" s="195">
        <v>67517528</v>
      </c>
      <c r="H58" s="195">
        <v>21637534</v>
      </c>
      <c r="I58" s="196">
        <v>26330311</v>
      </c>
      <c r="J58" s="196">
        <v>29104744</v>
      </c>
      <c r="K58" s="196">
        <v>53393173</v>
      </c>
      <c r="L58" s="8"/>
      <c r="M58" s="427"/>
      <c r="N58" s="1327"/>
      <c r="O58" s="1322"/>
      <c r="P58" s="1323"/>
      <c r="Q58" s="1319"/>
    </row>
    <row r="59" spans="1:17" ht="18" x14ac:dyDescent="0.2">
      <c r="A59" s="1324"/>
      <c r="B59" s="502" t="s">
        <v>1387</v>
      </c>
      <c r="C59" s="178"/>
      <c r="D59" s="159">
        <f t="shared" si="2"/>
        <v>107.19690315965926</v>
      </c>
      <c r="E59" s="164"/>
      <c r="F59" s="197">
        <v>22487987</v>
      </c>
      <c r="G59" s="198">
        <v>71063290</v>
      </c>
      <c r="H59" s="199">
        <v>22906100</v>
      </c>
      <c r="I59" s="182">
        <v>24793318</v>
      </c>
      <c r="J59" s="182">
        <v>26811647</v>
      </c>
      <c r="K59" s="182">
        <v>54552801</v>
      </c>
      <c r="L59" s="8"/>
      <c r="M59" s="427"/>
      <c r="N59" s="1321"/>
      <c r="O59" s="1322"/>
      <c r="P59" s="1323"/>
      <c r="Q59" s="1319"/>
    </row>
    <row r="60" spans="1:17" ht="18" customHeight="1" x14ac:dyDescent="0.2">
      <c r="A60" s="1324"/>
      <c r="B60" s="2313" t="s">
        <v>1383</v>
      </c>
      <c r="C60" s="201" t="s">
        <v>40</v>
      </c>
      <c r="D60" s="159">
        <f t="shared" si="2"/>
        <v>108.04650675039792</v>
      </c>
      <c r="E60" s="164">
        <f>2+6.9+2.1+1.9+2.1+4.8</f>
        <v>19.8</v>
      </c>
      <c r="F60" s="197">
        <v>22620107</v>
      </c>
      <c r="G60" s="198">
        <v>70625863</v>
      </c>
      <c r="H60" s="199">
        <v>23113258</v>
      </c>
      <c r="I60" s="182">
        <v>24968648</v>
      </c>
      <c r="J60" s="182">
        <v>27202530</v>
      </c>
      <c r="K60" s="182">
        <v>55506979</v>
      </c>
      <c r="L60" s="8"/>
      <c r="M60" s="427"/>
      <c r="N60" s="1321"/>
      <c r="O60" s="1322"/>
      <c r="P60" s="1323"/>
      <c r="Q60" s="1319"/>
    </row>
    <row r="61" spans="1:17" ht="18" customHeight="1" x14ac:dyDescent="0.25">
      <c r="A61" s="1324"/>
      <c r="B61" s="2493" t="s">
        <v>2216</v>
      </c>
      <c r="C61" s="186"/>
      <c r="D61" s="159">
        <f t="shared" si="2"/>
        <v>108.335815651164</v>
      </c>
      <c r="E61" s="164">
        <f>17.5+49.7+24.7+39.2+27.6+56.5</f>
        <v>215.20000000000002</v>
      </c>
      <c r="F61" s="205">
        <v>22528013</v>
      </c>
      <c r="G61" s="206">
        <v>69734330</v>
      </c>
      <c r="H61" s="206">
        <v>22689290</v>
      </c>
      <c r="I61" s="196">
        <v>26620356</v>
      </c>
      <c r="J61" s="196">
        <v>27252991</v>
      </c>
      <c r="K61" s="196">
        <v>54517750</v>
      </c>
      <c r="L61" s="8"/>
      <c r="M61" s="427"/>
      <c r="N61" s="1321"/>
      <c r="O61" s="1322"/>
      <c r="P61" s="1323"/>
      <c r="Q61" s="1319"/>
    </row>
    <row r="62" spans="1:17" ht="18" x14ac:dyDescent="0.25">
      <c r="A62" s="1324"/>
      <c r="B62" s="518" t="s">
        <v>1392</v>
      </c>
      <c r="C62" s="178"/>
      <c r="D62" s="159">
        <f t="shared" si="2"/>
        <v>108.66629625798767</v>
      </c>
      <c r="E62" s="164">
        <f>36+131+39+36+40+92</f>
        <v>374</v>
      </c>
      <c r="F62" s="197">
        <v>23271012</v>
      </c>
      <c r="G62" s="198">
        <v>69737044</v>
      </c>
      <c r="H62" s="199">
        <v>23212082</v>
      </c>
      <c r="I62" s="182">
        <v>24642181</v>
      </c>
      <c r="J62" s="182">
        <v>27857032</v>
      </c>
      <c r="K62" s="182">
        <v>55707446</v>
      </c>
      <c r="L62" s="8"/>
      <c r="M62" s="1330"/>
      <c r="N62" s="1327"/>
      <c r="O62" s="1322"/>
      <c r="P62" s="1323"/>
      <c r="Q62" s="1319"/>
    </row>
    <row r="63" spans="1:17" ht="18" customHeight="1" x14ac:dyDescent="0.2">
      <c r="A63" s="1324" t="s">
        <v>931</v>
      </c>
      <c r="B63" s="502" t="s">
        <v>955</v>
      </c>
      <c r="C63" s="178"/>
      <c r="D63" s="159">
        <f t="shared" si="2"/>
        <v>109.0948277414434</v>
      </c>
      <c r="E63" s="164"/>
      <c r="F63" s="191">
        <v>22928506</v>
      </c>
      <c r="G63" s="192">
        <v>72082762</v>
      </c>
      <c r="H63" s="181">
        <v>23199216</v>
      </c>
      <c r="I63" s="182">
        <v>24996128</v>
      </c>
      <c r="J63" s="182">
        <v>27578962</v>
      </c>
      <c r="K63" s="182">
        <v>55823830</v>
      </c>
      <c r="L63" s="8"/>
      <c r="M63" s="1330"/>
      <c r="N63" s="1321"/>
      <c r="O63" s="1322"/>
      <c r="P63" s="1323"/>
      <c r="Q63" s="1319"/>
    </row>
    <row r="64" spans="1:17" ht="18" x14ac:dyDescent="0.25">
      <c r="A64" s="1324" t="s">
        <v>932</v>
      </c>
      <c r="B64" s="2313" t="s">
        <v>2495</v>
      </c>
      <c r="C64" s="201" t="s">
        <v>40</v>
      </c>
      <c r="D64" s="159">
        <f t="shared" si="2"/>
        <v>109.36068325279092</v>
      </c>
      <c r="E64" s="164">
        <f>1586.96+5448.59+1852.21+544.6+533.07+3942</f>
        <v>13907.43</v>
      </c>
      <c r="F64" s="197">
        <v>21967827</v>
      </c>
      <c r="G64" s="198">
        <v>67631160</v>
      </c>
      <c r="H64" s="199">
        <v>21684386</v>
      </c>
      <c r="I64" s="182">
        <v>28155605</v>
      </c>
      <c r="J64" s="182">
        <v>30288570</v>
      </c>
      <c r="K64" s="182">
        <v>53497440</v>
      </c>
      <c r="L64" s="8"/>
      <c r="M64" s="1330"/>
      <c r="N64" s="1327"/>
      <c r="O64" s="1322"/>
      <c r="P64" s="1323"/>
      <c r="Q64" s="1319"/>
    </row>
    <row r="65" spans="1:17" ht="18" x14ac:dyDescent="0.2">
      <c r="A65" s="1324" t="s">
        <v>933</v>
      </c>
      <c r="B65" s="497" t="s">
        <v>1384</v>
      </c>
      <c r="C65" s="201" t="s">
        <v>40</v>
      </c>
      <c r="D65" s="159">
        <f t="shared" si="2"/>
        <v>109.56179601068445</v>
      </c>
      <c r="E65" s="164">
        <f>1.6+5.2+1.8+1.6+1.8+3.7</f>
        <v>15.700000000000003</v>
      </c>
      <c r="F65" s="197">
        <v>22702329</v>
      </c>
      <c r="G65" s="198">
        <v>74250487</v>
      </c>
      <c r="H65" s="199">
        <v>23077785</v>
      </c>
      <c r="I65" s="182">
        <v>25142197</v>
      </c>
      <c r="J65" s="182">
        <v>27796657</v>
      </c>
      <c r="K65" s="182">
        <v>55642047</v>
      </c>
      <c r="L65" s="8"/>
      <c r="M65" s="427"/>
      <c r="N65" s="1321"/>
      <c r="O65" s="1322"/>
      <c r="P65" s="1323"/>
      <c r="Q65" s="1319"/>
    </row>
    <row r="66" spans="1:17" ht="18" x14ac:dyDescent="0.2">
      <c r="A66" s="1324" t="s">
        <v>934</v>
      </c>
      <c r="B66" s="1372" t="s">
        <v>1366</v>
      </c>
      <c r="C66" s="178"/>
      <c r="D66" s="159">
        <f t="shared" si="2"/>
        <v>110.81966957258193</v>
      </c>
      <c r="E66" s="164">
        <f>9.5+33.8+10.4+9.6+10.2+23.4</f>
        <v>96.9</v>
      </c>
      <c r="F66" s="197">
        <v>23330940</v>
      </c>
      <c r="G66" s="198">
        <v>72686341</v>
      </c>
      <c r="H66" s="199">
        <v>23860493</v>
      </c>
      <c r="I66" s="182">
        <v>25506012</v>
      </c>
      <c r="J66" s="182">
        <v>27621765</v>
      </c>
      <c r="K66" s="182">
        <v>56843123</v>
      </c>
      <c r="L66" s="8"/>
      <c r="M66" s="427"/>
      <c r="N66" s="1321"/>
      <c r="O66" s="1322"/>
      <c r="P66" s="1323"/>
      <c r="Q66" s="1319"/>
    </row>
    <row r="67" spans="1:17" ht="18" customHeight="1" x14ac:dyDescent="0.25">
      <c r="A67" s="1324" t="s">
        <v>935</v>
      </c>
      <c r="B67" s="497" t="s">
        <v>951</v>
      </c>
      <c r="C67" s="200"/>
      <c r="D67" s="159">
        <f t="shared" ref="D67:D85" si="3">SUM(F67/F$11,G67/G$11,H67/H$11,I67/I$11,J67/J$11,K67/K$11)/6*100</f>
        <v>110.99788415999178</v>
      </c>
      <c r="E67" s="164"/>
      <c r="F67" s="191">
        <v>23339576</v>
      </c>
      <c r="G67" s="192">
        <v>72609038</v>
      </c>
      <c r="H67" s="193">
        <v>23534720</v>
      </c>
      <c r="I67" s="182">
        <v>25601756</v>
      </c>
      <c r="J67" s="182">
        <v>28610084</v>
      </c>
      <c r="K67" s="182">
        <v>55998088</v>
      </c>
      <c r="L67" s="8"/>
      <c r="M67" s="1330"/>
      <c r="N67" s="1321"/>
      <c r="O67" s="1322"/>
      <c r="P67" s="1323"/>
      <c r="Q67" s="1319"/>
    </row>
    <row r="68" spans="1:17" ht="18" customHeight="1" x14ac:dyDescent="0.2">
      <c r="A68" s="1324"/>
      <c r="B68" s="1373" t="s">
        <v>1367</v>
      </c>
      <c r="C68" s="178"/>
      <c r="D68" s="159">
        <f t="shared" si="3"/>
        <v>111.827387764262</v>
      </c>
      <c r="E68" s="164"/>
      <c r="F68" s="191">
        <v>24659156</v>
      </c>
      <c r="G68" s="192">
        <v>69820640</v>
      </c>
      <c r="H68" s="193">
        <v>24192990</v>
      </c>
      <c r="I68" s="182">
        <v>25381880</v>
      </c>
      <c r="J68" s="182">
        <v>27846064</v>
      </c>
      <c r="K68" s="182">
        <v>58005508</v>
      </c>
      <c r="L68" s="8"/>
      <c r="M68" s="1330"/>
      <c r="N68" s="1321"/>
      <c r="O68" s="1322"/>
      <c r="P68" s="1323"/>
      <c r="Q68" s="1319"/>
    </row>
    <row r="69" spans="1:17" ht="18" customHeight="1" x14ac:dyDescent="0.2">
      <c r="A69" s="1324"/>
      <c r="B69" s="3103" t="s">
        <v>2077</v>
      </c>
      <c r="C69" s="202"/>
      <c r="D69" s="159">
        <f t="shared" si="3"/>
        <v>111.86502964882892</v>
      </c>
      <c r="E69" s="164">
        <f>6.3+22.583+6.92+15.416+7.034+15.25</f>
        <v>73.502999999999986</v>
      </c>
      <c r="F69" s="191">
        <v>23450169</v>
      </c>
      <c r="G69" s="192">
        <v>73139171</v>
      </c>
      <c r="H69" s="193">
        <v>23517339</v>
      </c>
      <c r="I69" s="182">
        <v>25578292</v>
      </c>
      <c r="J69" s="182">
        <v>29447638</v>
      </c>
      <c r="K69" s="182">
        <v>56390058</v>
      </c>
      <c r="L69" s="8"/>
      <c r="M69" s="427"/>
      <c r="N69" s="1321"/>
      <c r="O69" s="1322"/>
      <c r="P69" s="1323"/>
      <c r="Q69" s="1319"/>
    </row>
    <row r="70" spans="1:17" ht="18" x14ac:dyDescent="0.25">
      <c r="A70" s="1324"/>
      <c r="B70" s="1373" t="s">
        <v>1368</v>
      </c>
      <c r="C70" s="178"/>
      <c r="D70" s="159">
        <f t="shared" si="3"/>
        <v>112.02474357315187</v>
      </c>
      <c r="E70" s="164"/>
      <c r="F70" s="197">
        <v>23424849</v>
      </c>
      <c r="G70" s="198">
        <v>72529219</v>
      </c>
      <c r="H70" s="199">
        <v>23866134</v>
      </c>
      <c r="I70" s="182">
        <v>25784515</v>
      </c>
      <c r="J70" s="182">
        <v>28861710</v>
      </c>
      <c r="K70" s="182">
        <v>57297208</v>
      </c>
      <c r="L70" s="8"/>
      <c r="M70" s="427"/>
      <c r="N70" s="1327"/>
      <c r="O70" s="1322"/>
      <c r="P70" s="1331"/>
      <c r="Q70" s="1332"/>
    </row>
    <row r="71" spans="1:17" ht="18" customHeight="1" x14ac:dyDescent="0.2">
      <c r="A71" s="1324" t="s">
        <v>936</v>
      </c>
      <c r="B71" s="1373" t="s">
        <v>1369</v>
      </c>
      <c r="C71" s="178"/>
      <c r="D71" s="159">
        <f t="shared" si="3"/>
        <v>113.97344164256285</v>
      </c>
      <c r="E71" s="164"/>
      <c r="F71" s="197">
        <v>23699382</v>
      </c>
      <c r="G71" s="198">
        <v>75065418</v>
      </c>
      <c r="H71" s="199">
        <v>24135163</v>
      </c>
      <c r="I71" s="182">
        <v>26257927</v>
      </c>
      <c r="J71" s="182">
        <v>29350464</v>
      </c>
      <c r="K71" s="182">
        <v>57946615</v>
      </c>
      <c r="L71" s="8"/>
      <c r="M71" s="427"/>
      <c r="N71" s="1321"/>
      <c r="O71" s="1322"/>
      <c r="P71" s="1331"/>
      <c r="Q71" s="1319"/>
    </row>
    <row r="72" spans="1:17" ht="18" customHeight="1" x14ac:dyDescent="0.2">
      <c r="A72" s="1324" t="s">
        <v>937</v>
      </c>
      <c r="B72" s="497" t="s">
        <v>1390</v>
      </c>
      <c r="C72" s="202"/>
      <c r="D72" s="159">
        <f t="shared" si="3"/>
        <v>116.2890833283668</v>
      </c>
      <c r="E72" s="164">
        <f>64.9+240+73.2+65.9+71.6+155.4</f>
        <v>671</v>
      </c>
      <c r="F72" s="207">
        <v>24479092</v>
      </c>
      <c r="G72" s="208">
        <v>81714130</v>
      </c>
      <c r="H72" s="181">
        <v>24953607</v>
      </c>
      <c r="I72" s="182">
        <v>25538524</v>
      </c>
      <c r="J72" s="182">
        <v>28463666</v>
      </c>
      <c r="K72" s="182">
        <v>59446556</v>
      </c>
      <c r="L72" s="8"/>
      <c r="M72" s="427"/>
      <c r="N72" s="1321"/>
      <c r="O72" s="1322"/>
      <c r="P72" s="1323"/>
      <c r="Q72" s="1319"/>
    </row>
    <row r="73" spans="1:17" ht="18" x14ac:dyDescent="0.2">
      <c r="A73" s="1324"/>
      <c r="B73" s="1435" t="s">
        <v>966</v>
      </c>
      <c r="C73" s="190" t="s">
        <v>40</v>
      </c>
      <c r="D73" s="159">
        <f t="shared" si="3"/>
        <v>116.36238993283644</v>
      </c>
      <c r="E73" s="1362"/>
      <c r="F73" s="1377">
        <v>23996797</v>
      </c>
      <c r="G73" s="1378">
        <v>80707547</v>
      </c>
      <c r="H73" s="1378">
        <v>24940763</v>
      </c>
      <c r="I73" s="1379">
        <v>25730820</v>
      </c>
      <c r="J73" s="1379">
        <v>28948020</v>
      </c>
      <c r="K73" s="1379">
        <v>60245302</v>
      </c>
      <c r="L73" s="8"/>
      <c r="M73" s="1330"/>
      <c r="N73" s="1321"/>
      <c r="O73" s="1322"/>
      <c r="P73" s="1323"/>
      <c r="Q73" s="1319"/>
    </row>
    <row r="74" spans="1:17" ht="18" x14ac:dyDescent="0.2">
      <c r="A74" s="1324"/>
      <c r="B74" s="518" t="s">
        <v>965</v>
      </c>
      <c r="C74" s="1722"/>
      <c r="D74" s="159">
        <f t="shared" si="3"/>
        <v>116.60774746360244</v>
      </c>
      <c r="E74" s="1362"/>
      <c r="F74" s="1377">
        <v>24092508</v>
      </c>
      <c r="G74" s="1378">
        <v>78579550</v>
      </c>
      <c r="H74" s="1378">
        <v>24617908</v>
      </c>
      <c r="I74" s="1379">
        <v>26560348</v>
      </c>
      <c r="J74" s="1379">
        <v>30277798</v>
      </c>
      <c r="K74" s="1379">
        <v>58626774</v>
      </c>
      <c r="L74" s="8"/>
      <c r="M74" s="1330"/>
      <c r="N74" s="1321"/>
      <c r="O74" s="1322"/>
      <c r="P74" s="1323"/>
      <c r="Q74" s="1319"/>
    </row>
    <row r="75" spans="1:17" ht="18" x14ac:dyDescent="0.2">
      <c r="A75" s="1324" t="s">
        <v>939</v>
      </c>
      <c r="B75" s="509" t="s">
        <v>1370</v>
      </c>
      <c r="C75" s="202"/>
      <c r="D75" s="159">
        <f t="shared" si="3"/>
        <v>116.73075967082227</v>
      </c>
      <c r="E75" s="164">
        <f>19.4+62.1+20.3+19.8+22+47.1</f>
        <v>190.7</v>
      </c>
      <c r="F75" s="191">
        <v>24836542</v>
      </c>
      <c r="G75" s="192">
        <v>77675360</v>
      </c>
      <c r="H75" s="193">
        <v>24987370</v>
      </c>
      <c r="I75" s="182">
        <v>25799227</v>
      </c>
      <c r="J75" s="182">
        <v>29805556</v>
      </c>
      <c r="K75" s="182">
        <v>59700789</v>
      </c>
      <c r="L75" s="8"/>
      <c r="M75" s="427"/>
      <c r="N75" s="1321"/>
      <c r="O75" s="1322"/>
      <c r="P75" s="1323"/>
      <c r="Q75" s="1319"/>
    </row>
    <row r="76" spans="1:17" ht="18" customHeight="1" x14ac:dyDescent="0.2">
      <c r="A76" s="1324" t="s">
        <v>940</v>
      </c>
      <c r="B76" s="497" t="s">
        <v>1008</v>
      </c>
      <c r="C76" s="202"/>
      <c r="D76" s="159">
        <f t="shared" si="3"/>
        <v>116.96211757475083</v>
      </c>
      <c r="E76" s="164"/>
      <c r="F76" s="191">
        <v>23628368</v>
      </c>
      <c r="G76" s="192">
        <v>80911032</v>
      </c>
      <c r="H76" s="193">
        <v>24692936</v>
      </c>
      <c r="I76" s="182">
        <v>26511520</v>
      </c>
      <c r="J76" s="182">
        <v>29781848</v>
      </c>
      <c r="K76" s="182">
        <v>59973424</v>
      </c>
      <c r="L76" s="8"/>
      <c r="M76" s="427"/>
      <c r="N76" s="1321"/>
      <c r="O76" s="1322"/>
      <c r="P76" s="1323"/>
      <c r="Q76" s="1319"/>
    </row>
    <row r="77" spans="1:17" ht="18" x14ac:dyDescent="0.25">
      <c r="A77" s="1324" t="s">
        <v>941</v>
      </c>
      <c r="B77" s="559" t="s">
        <v>964</v>
      </c>
      <c r="C77" s="202"/>
      <c r="D77" s="159">
        <f t="shared" si="3"/>
        <v>117.01724984526234</v>
      </c>
      <c r="E77" s="164">
        <f>1.3+4.2+1.4+1.2+1.3+3.1</f>
        <v>12.5</v>
      </c>
      <c r="F77" s="191">
        <v>25681785</v>
      </c>
      <c r="G77" s="192">
        <v>75269417</v>
      </c>
      <c r="H77" s="193">
        <v>24842361</v>
      </c>
      <c r="I77" s="182">
        <v>26355281</v>
      </c>
      <c r="J77" s="182">
        <v>30047809</v>
      </c>
      <c r="K77" s="182">
        <v>59024365</v>
      </c>
      <c r="L77" s="8"/>
      <c r="M77" s="1330"/>
      <c r="N77" s="1327"/>
      <c r="O77" s="1322"/>
      <c r="P77" s="1323"/>
      <c r="Q77" s="1319"/>
    </row>
    <row r="78" spans="1:17" ht="18" x14ac:dyDescent="0.2">
      <c r="A78" s="1324" t="s">
        <v>942</v>
      </c>
      <c r="B78" s="497" t="s">
        <v>968</v>
      </c>
      <c r="C78" s="202"/>
      <c r="D78" s="159">
        <f t="shared" si="3"/>
        <v>118.09652576315406</v>
      </c>
      <c r="E78" s="164"/>
      <c r="F78" s="191">
        <v>24978808</v>
      </c>
      <c r="G78" s="192">
        <v>81448175</v>
      </c>
      <c r="H78" s="193">
        <v>25833929</v>
      </c>
      <c r="I78" s="182">
        <v>25748699</v>
      </c>
      <c r="J78" s="182">
        <v>28775616</v>
      </c>
      <c r="K78" s="182">
        <v>60756554</v>
      </c>
      <c r="L78" s="8"/>
      <c r="M78" s="427"/>
      <c r="N78" s="1321"/>
      <c r="O78" s="1322"/>
      <c r="P78" s="1323"/>
      <c r="Q78" s="1319"/>
    </row>
    <row r="79" spans="1:17" ht="18" x14ac:dyDescent="0.2">
      <c r="A79" s="1333"/>
      <c r="B79" s="497" t="s">
        <v>943</v>
      </c>
      <c r="C79" s="202"/>
      <c r="D79" s="159">
        <f t="shared" si="3"/>
        <v>118.11907796657988</v>
      </c>
      <c r="E79" s="164">
        <f>9.013+30.464+9.466+7.776+8.376+20.284</f>
        <v>85.378999999999991</v>
      </c>
      <c r="F79" s="191">
        <v>25390864</v>
      </c>
      <c r="G79" s="192">
        <v>80976880</v>
      </c>
      <c r="H79" s="193">
        <v>25436512</v>
      </c>
      <c r="I79" s="182">
        <v>25608704</v>
      </c>
      <c r="J79" s="182">
        <v>29179440</v>
      </c>
      <c r="K79" s="182">
        <v>60677456</v>
      </c>
      <c r="L79" s="8"/>
      <c r="M79" s="427"/>
      <c r="N79" s="1321"/>
      <c r="O79" s="1322"/>
      <c r="P79" s="1323"/>
      <c r="Q79" s="1319"/>
    </row>
    <row r="80" spans="1:17" ht="18" customHeight="1" x14ac:dyDescent="0.2">
      <c r="A80" s="1333"/>
      <c r="B80" s="1371" t="s">
        <v>959</v>
      </c>
      <c r="C80" s="202"/>
      <c r="D80" s="159">
        <f t="shared" si="3"/>
        <v>120.94252943122751</v>
      </c>
      <c r="E80" s="164"/>
      <c r="F80" s="191">
        <v>26465998</v>
      </c>
      <c r="G80" s="192">
        <v>79087302</v>
      </c>
      <c r="H80" s="193">
        <v>25755075</v>
      </c>
      <c r="I80" s="182">
        <v>26912478</v>
      </c>
      <c r="J80" s="182">
        <v>30757560</v>
      </c>
      <c r="K80" s="182">
        <v>61334990</v>
      </c>
      <c r="L80" s="8"/>
      <c r="M80" s="427"/>
      <c r="N80" s="1321"/>
      <c r="O80" s="1322"/>
      <c r="P80" s="1323"/>
      <c r="Q80" s="1319"/>
    </row>
    <row r="81" spans="1:17" ht="18" x14ac:dyDescent="0.2">
      <c r="A81" s="1320"/>
      <c r="B81" s="497" t="s">
        <v>1711</v>
      </c>
      <c r="C81" s="190" t="s">
        <v>40</v>
      </c>
      <c r="D81" s="159">
        <f t="shared" si="3"/>
        <v>121.88095817895599</v>
      </c>
      <c r="E81" s="164">
        <f>3+13+4+3+4+9</f>
        <v>36</v>
      </c>
      <c r="F81" s="191">
        <v>26047137</v>
      </c>
      <c r="G81" s="192">
        <v>82453639</v>
      </c>
      <c r="H81" s="193">
        <v>26221267</v>
      </c>
      <c r="I81" s="182">
        <v>26669811</v>
      </c>
      <c r="J81" s="182">
        <v>30526049</v>
      </c>
      <c r="K81" s="182">
        <v>62494914</v>
      </c>
      <c r="L81" s="8"/>
      <c r="M81" s="427"/>
      <c r="N81" s="1321"/>
      <c r="O81" s="1322"/>
      <c r="P81" s="1323"/>
      <c r="Q81" s="1319"/>
    </row>
    <row r="82" spans="1:17" ht="18" x14ac:dyDescent="0.2">
      <c r="A82" s="1320"/>
      <c r="B82" s="2313" t="s">
        <v>2585</v>
      </c>
      <c r="C82" s="201"/>
      <c r="D82" s="159">
        <f t="shared" si="3"/>
        <v>122.68343275213893</v>
      </c>
      <c r="E82" s="164">
        <f>17+114+22+13+14+61</f>
        <v>241</v>
      </c>
      <c r="F82" s="191">
        <v>26598981</v>
      </c>
      <c r="G82" s="192">
        <v>83021264</v>
      </c>
      <c r="H82" s="193">
        <v>26167634</v>
      </c>
      <c r="I82" s="182">
        <v>26905264</v>
      </c>
      <c r="J82" s="182">
        <v>30699235</v>
      </c>
      <c r="K82" s="182">
        <v>62444369</v>
      </c>
      <c r="L82" s="8"/>
      <c r="M82" s="427"/>
      <c r="N82" s="1321"/>
      <c r="O82" s="1322"/>
      <c r="P82" s="1323"/>
      <c r="Q82" s="1319"/>
    </row>
    <row r="83" spans="1:17" ht="18" customHeight="1" x14ac:dyDescent="0.2">
      <c r="A83" s="1320"/>
      <c r="B83" s="496" t="s">
        <v>969</v>
      </c>
      <c r="C83" s="178"/>
      <c r="D83" s="159">
        <f t="shared" si="3"/>
        <v>123.78794896659726</v>
      </c>
      <c r="E83" s="164"/>
      <c r="F83" s="191">
        <v>27056931</v>
      </c>
      <c r="G83" s="209">
        <v>79965258</v>
      </c>
      <c r="H83" s="209">
        <v>26567275</v>
      </c>
      <c r="I83" s="210">
        <v>27609866</v>
      </c>
      <c r="J83" s="210">
        <v>31375618</v>
      </c>
      <c r="K83" s="210">
        <v>63187326</v>
      </c>
      <c r="L83" s="8"/>
      <c r="M83" s="427"/>
      <c r="N83" s="1321"/>
      <c r="O83" s="1322"/>
      <c r="P83" s="1323"/>
      <c r="Q83" s="1319"/>
    </row>
    <row r="84" spans="1:17" ht="18" x14ac:dyDescent="0.2">
      <c r="A84" s="1320"/>
      <c r="B84" s="2489" t="s">
        <v>2083</v>
      </c>
      <c r="C84" s="1364" t="s">
        <v>40</v>
      </c>
      <c r="D84" s="159">
        <f t="shared" si="3"/>
        <v>123.86330075732927</v>
      </c>
      <c r="E84" s="164">
        <f>3.6+11.9+3.7+22.6+3.7+8</f>
        <v>53.5</v>
      </c>
      <c r="F84" s="211">
        <v>26291114</v>
      </c>
      <c r="G84" s="212">
        <v>76918370</v>
      </c>
      <c r="H84" s="212">
        <v>25587252</v>
      </c>
      <c r="I84" s="213">
        <v>32655639</v>
      </c>
      <c r="J84" s="213">
        <v>30503280</v>
      </c>
      <c r="K84" s="213">
        <v>60404659</v>
      </c>
      <c r="L84" s="8"/>
      <c r="M84" s="1330"/>
      <c r="N84" s="1321"/>
      <c r="O84" s="1322"/>
      <c r="P84" s="1323"/>
      <c r="Q84" s="1319"/>
    </row>
    <row r="85" spans="1:17" ht="18" x14ac:dyDescent="0.2">
      <c r="A85" s="1320"/>
      <c r="B85" s="497" t="s">
        <v>2084</v>
      </c>
      <c r="C85" s="202"/>
      <c r="D85" s="159">
        <f t="shared" si="3"/>
        <v>123.87021599401933</v>
      </c>
      <c r="E85" s="164">
        <f>2+6+2+1+2+4</f>
        <v>17</v>
      </c>
      <c r="F85" s="191">
        <v>27695138</v>
      </c>
      <c r="G85" s="192">
        <v>89171638</v>
      </c>
      <c r="H85" s="193">
        <v>26187653</v>
      </c>
      <c r="I85" s="182">
        <v>25880453</v>
      </c>
      <c r="J85" s="182">
        <v>29967774</v>
      </c>
      <c r="K85" s="182">
        <v>62414575</v>
      </c>
      <c r="L85" s="8"/>
      <c r="M85" s="1330"/>
      <c r="N85" s="1321"/>
      <c r="O85" s="1322"/>
      <c r="P85" s="1323"/>
      <c r="Q85" s="1319"/>
    </row>
    <row r="86" spans="1:17" ht="18" x14ac:dyDescent="0.2">
      <c r="A86" s="1320"/>
      <c r="B86" s="534" t="s">
        <v>970</v>
      </c>
      <c r="C86" s="202"/>
      <c r="D86" s="159">
        <f>SUM(F86/F$11,G86/G$11,H86/H$11,I86/I$11,J86/J$11,K86/K$11)/6*100</f>
        <v>124.93508154842357</v>
      </c>
      <c r="E86" s="164"/>
      <c r="F86" s="191">
        <v>27398117</v>
      </c>
      <c r="G86" s="192">
        <v>80236215</v>
      </c>
      <c r="H86" s="193">
        <v>27244564</v>
      </c>
      <c r="I86" s="182">
        <v>27515368</v>
      </c>
      <c r="J86" s="182">
        <v>31667591</v>
      </c>
      <c r="K86" s="182">
        <v>63641733</v>
      </c>
      <c r="L86" s="8"/>
      <c r="M86" s="427"/>
      <c r="N86" s="1321"/>
      <c r="O86" s="1322"/>
      <c r="P86" s="1323"/>
      <c r="Q86" s="1319"/>
    </row>
    <row r="87" spans="1:17" ht="18" x14ac:dyDescent="0.2">
      <c r="A87" s="1320"/>
      <c r="B87" s="1370" t="s">
        <v>1778</v>
      </c>
      <c r="C87" s="1384" t="s">
        <v>40</v>
      </c>
      <c r="D87" s="159">
        <f t="shared" ref="D87:D93" si="4">SUM(F87/F$11,G87/G$11,H87/H$11,I87/I$11,J87/J$11,K87/K$11)/6*100</f>
        <v>125.61380315303722</v>
      </c>
      <c r="E87" s="1362">
        <f>1+6+1+1+1+3</f>
        <v>13</v>
      </c>
      <c r="F87" s="1366">
        <v>27523339</v>
      </c>
      <c r="G87" s="1367">
        <v>82215252</v>
      </c>
      <c r="H87" s="1378">
        <v>26711964</v>
      </c>
      <c r="I87" s="1379">
        <v>28011325</v>
      </c>
      <c r="J87" s="1379">
        <v>31982233</v>
      </c>
      <c r="K87" s="1379">
        <v>63442995</v>
      </c>
      <c r="L87" s="8"/>
      <c r="M87" s="427"/>
      <c r="N87" s="1321"/>
      <c r="O87" s="1322"/>
      <c r="P87" s="1323"/>
      <c r="Q87" s="1319"/>
    </row>
    <row r="88" spans="1:17" ht="18" x14ac:dyDescent="0.2">
      <c r="A88" s="1320"/>
      <c r="B88" s="518" t="s">
        <v>1371</v>
      </c>
      <c r="C88" s="202"/>
      <c r="D88" s="159">
        <f t="shared" si="4"/>
        <v>126.42398177066173</v>
      </c>
      <c r="E88" s="164"/>
      <c r="F88" s="191">
        <v>25003753</v>
      </c>
      <c r="G88" s="192">
        <v>91719090</v>
      </c>
      <c r="H88" s="181">
        <v>26875488</v>
      </c>
      <c r="I88" s="182">
        <v>28416094</v>
      </c>
      <c r="J88" s="182">
        <v>31627225</v>
      </c>
      <c r="K88" s="182">
        <v>64009357</v>
      </c>
      <c r="L88" s="8"/>
      <c r="M88" s="427"/>
      <c r="N88" s="1321"/>
      <c r="O88" s="1322"/>
      <c r="P88" s="1323"/>
      <c r="Q88" s="1319"/>
    </row>
    <row r="89" spans="1:17" ht="18" x14ac:dyDescent="0.2">
      <c r="A89" s="1320"/>
      <c r="B89" s="2313" t="s">
        <v>2807</v>
      </c>
      <c r="C89" s="201" t="s">
        <v>40</v>
      </c>
      <c r="D89" s="159">
        <f t="shared" si="4"/>
        <v>126.77425904054978</v>
      </c>
      <c r="E89" s="164">
        <f>9+59+11+8+9+32</f>
        <v>128</v>
      </c>
      <c r="F89" s="191">
        <v>26851122</v>
      </c>
      <c r="G89" s="192">
        <v>90802425</v>
      </c>
      <c r="H89" s="181">
        <v>28089211</v>
      </c>
      <c r="I89" s="182">
        <v>24580852</v>
      </c>
      <c r="J89" s="182">
        <v>31827490</v>
      </c>
      <c r="K89" s="182">
        <v>66644195</v>
      </c>
      <c r="L89" s="8"/>
      <c r="M89" s="427"/>
      <c r="N89" s="1321"/>
      <c r="O89" s="1322"/>
      <c r="P89" s="1323"/>
      <c r="Q89" s="1319"/>
    </row>
    <row r="90" spans="1:17" ht="18" x14ac:dyDescent="0.2">
      <c r="A90" s="1320"/>
      <c r="B90" s="518" t="s">
        <v>971</v>
      </c>
      <c r="C90" s="202"/>
      <c r="D90" s="159">
        <f t="shared" si="4"/>
        <v>127.12643614346631</v>
      </c>
      <c r="E90" s="164"/>
      <c r="F90" s="191">
        <v>28035880</v>
      </c>
      <c r="G90" s="192">
        <v>81453180</v>
      </c>
      <c r="H90" s="193">
        <v>27129184</v>
      </c>
      <c r="I90" s="182">
        <v>28288800</v>
      </c>
      <c r="J90" s="182">
        <v>32611012</v>
      </c>
      <c r="K90" s="182">
        <v>64546204</v>
      </c>
      <c r="L90" s="8"/>
      <c r="M90" s="427"/>
      <c r="N90" s="1321"/>
      <c r="O90" s="1322"/>
      <c r="P90" s="1323"/>
      <c r="Q90" s="1319"/>
    </row>
    <row r="91" spans="1:17" ht="18" x14ac:dyDescent="0.2">
      <c r="A91" s="1320"/>
      <c r="B91" s="2313" t="s">
        <v>2075</v>
      </c>
      <c r="C91" s="202"/>
      <c r="D91" s="159">
        <f t="shared" si="4"/>
        <v>127.84937575974902</v>
      </c>
      <c r="E91" s="164">
        <f>4+20+5+3+4+15</f>
        <v>51</v>
      </c>
      <c r="F91" s="191">
        <v>28616815</v>
      </c>
      <c r="G91" s="192">
        <v>85399324</v>
      </c>
      <c r="H91" s="181">
        <v>27870101</v>
      </c>
      <c r="I91" s="182">
        <v>27491974</v>
      </c>
      <c r="J91" s="182">
        <v>31239797</v>
      </c>
      <c r="K91" s="182">
        <v>65059597</v>
      </c>
      <c r="L91" s="8"/>
      <c r="M91" s="427"/>
      <c r="N91" s="1321"/>
      <c r="O91" s="1322"/>
      <c r="P91" s="1323"/>
      <c r="Q91" s="1319"/>
    </row>
    <row r="92" spans="1:17" ht="18" x14ac:dyDescent="0.2">
      <c r="A92" s="1320"/>
      <c r="B92" s="1371" t="s">
        <v>1372</v>
      </c>
      <c r="C92" s="215"/>
      <c r="D92" s="159">
        <f t="shared" si="4"/>
        <v>128.01837135844301</v>
      </c>
      <c r="E92" s="164"/>
      <c r="F92" s="191">
        <v>28130802</v>
      </c>
      <c r="G92" s="214">
        <v>83413846</v>
      </c>
      <c r="H92" s="183">
        <v>27135351</v>
      </c>
      <c r="I92" s="184">
        <v>28707784</v>
      </c>
      <c r="J92" s="184">
        <v>32559637</v>
      </c>
      <c r="K92" s="184">
        <v>64682998</v>
      </c>
      <c r="L92" s="8"/>
      <c r="M92" s="427"/>
      <c r="N92" s="1321"/>
      <c r="O92" s="1322"/>
      <c r="P92" s="1323"/>
      <c r="Q92" s="1319"/>
    </row>
    <row r="93" spans="1:17" ht="18" x14ac:dyDescent="0.25">
      <c r="A93" s="1320"/>
      <c r="B93" s="497" t="s">
        <v>1779</v>
      </c>
      <c r="C93" s="250"/>
      <c r="D93" s="159">
        <f t="shared" si="4"/>
        <v>129.28158708250379</v>
      </c>
      <c r="E93" s="164">
        <f>8+31+10+9+9+22</f>
        <v>89</v>
      </c>
      <c r="F93" s="191">
        <v>26801729</v>
      </c>
      <c r="G93" s="192">
        <v>91496108</v>
      </c>
      <c r="H93" s="193">
        <v>27768041</v>
      </c>
      <c r="I93" s="182">
        <v>28277195</v>
      </c>
      <c r="J93" s="182">
        <v>31813215</v>
      </c>
      <c r="K93" s="182">
        <v>66426917</v>
      </c>
      <c r="L93" s="8"/>
      <c r="M93" s="432"/>
      <c r="N93" s="1334"/>
      <c r="O93" s="1322"/>
      <c r="P93" s="1323"/>
      <c r="Q93" s="1319"/>
    </row>
    <row r="94" spans="1:17" ht="18" x14ac:dyDescent="0.2">
      <c r="A94" s="1320"/>
      <c r="B94" s="1371" t="s">
        <v>1373</v>
      </c>
      <c r="C94" s="203"/>
      <c r="D94" s="159">
        <f>SUM(F94/F$11,G94/G$11,H94/H$11,I94/I$11,J94/J$11,K94/K$11)/6*100</f>
        <v>154.33875535280873</v>
      </c>
      <c r="E94" s="164"/>
      <c r="F94" s="191">
        <v>28811693</v>
      </c>
      <c r="G94" s="192">
        <v>124599400</v>
      </c>
      <c r="H94" s="193">
        <v>33875159</v>
      </c>
      <c r="I94" s="182">
        <v>34262259</v>
      </c>
      <c r="J94" s="182">
        <v>35483592</v>
      </c>
      <c r="K94" s="182">
        <v>77091437</v>
      </c>
      <c r="L94" s="8"/>
      <c r="M94" s="427"/>
      <c r="N94" s="1321"/>
      <c r="O94" s="1322"/>
      <c r="P94" s="1323"/>
      <c r="Q94" s="1319"/>
    </row>
    <row r="95" spans="1:17" ht="18" x14ac:dyDescent="0.2">
      <c r="A95" s="1320"/>
      <c r="B95" s="497" t="s">
        <v>1374</v>
      </c>
      <c r="C95" s="190" t="s">
        <v>40</v>
      </c>
      <c r="D95" s="159">
        <f>SUM(F95/F$11,G95/G$11,H95/H$11,I95/I$11,J95/J$11,K95/K$11)/6*100</f>
        <v>157.09838007064283</v>
      </c>
      <c r="E95" s="164">
        <f>7+34+9+8+8+21</f>
        <v>87</v>
      </c>
      <c r="F95" s="191">
        <v>29841499</v>
      </c>
      <c r="G95" s="192">
        <v>124326855</v>
      </c>
      <c r="H95" s="193">
        <v>35177002</v>
      </c>
      <c r="I95" s="182">
        <v>33886545</v>
      </c>
      <c r="J95" s="182">
        <v>35652540</v>
      </c>
      <c r="K95" s="182">
        <v>80671989</v>
      </c>
      <c r="L95" s="8"/>
      <c r="M95" s="427"/>
      <c r="N95" s="1321"/>
      <c r="O95" s="1322"/>
      <c r="P95" s="1323"/>
      <c r="Q95" s="1319"/>
    </row>
    <row r="96" spans="1:17" ht="18" x14ac:dyDescent="0.25">
      <c r="A96" s="1320"/>
      <c r="B96" s="497" t="s">
        <v>974</v>
      </c>
      <c r="C96" s="216"/>
      <c r="D96" s="159">
        <f>SUM(F96/F$11,G96/G$11,H96/H$11,I96/I$11,J96/J$11,K96/K$11)/6*100</f>
        <v>158.81801576276737</v>
      </c>
      <c r="E96" s="164"/>
      <c r="F96" s="191">
        <v>30530732</v>
      </c>
      <c r="G96" s="192">
        <v>125888449</v>
      </c>
      <c r="H96" s="193">
        <v>34578420</v>
      </c>
      <c r="I96" s="182">
        <v>34364578</v>
      </c>
      <c r="J96" s="182">
        <v>37259032</v>
      </c>
      <c r="K96" s="182">
        <v>80221162</v>
      </c>
      <c r="L96" s="8"/>
      <c r="M96" s="427"/>
      <c r="N96" s="1321"/>
      <c r="O96" s="1322"/>
      <c r="P96" s="1323"/>
      <c r="Q96" s="1319"/>
    </row>
    <row r="97" spans="1:17" ht="18" x14ac:dyDescent="0.25">
      <c r="A97" s="1320"/>
      <c r="B97" s="497" t="s">
        <v>1375</v>
      </c>
      <c r="C97" s="201" t="s">
        <v>40</v>
      </c>
      <c r="D97" s="159">
        <f>SUM(F97/F$11,G97/G$11,H97/H$11,I97/I$11,J97/J$11,K97/K$11)/6*100</f>
        <v>161.74622642967702</v>
      </c>
      <c r="E97" s="164">
        <f>2.5+7.2+2.8+2.2+2+5.7</f>
        <v>22.4</v>
      </c>
      <c r="F97" s="191">
        <v>32456331</v>
      </c>
      <c r="G97" s="192">
        <v>123860181</v>
      </c>
      <c r="H97" s="193">
        <v>36998415</v>
      </c>
      <c r="I97" s="182">
        <v>33710545</v>
      </c>
      <c r="J97" s="182">
        <v>36370790</v>
      </c>
      <c r="K97" s="182">
        <v>83541373</v>
      </c>
      <c r="L97" s="8"/>
      <c r="M97" s="1330"/>
      <c r="N97" s="1327"/>
      <c r="O97" s="1322"/>
      <c r="P97" s="1323"/>
      <c r="Q97" s="1319"/>
    </row>
    <row r="98" spans="1:17" ht="18" x14ac:dyDescent="0.2">
      <c r="A98" s="1320"/>
      <c r="B98" s="559" t="s">
        <v>977</v>
      </c>
      <c r="C98" s="201" t="s">
        <v>40</v>
      </c>
      <c r="D98" s="159">
        <f>SUM(F98/F$11,G98/G$11,H98/H$11,I98/I$11,J98/J$11,K98/K$11)/6*100</f>
        <v>175.8197383888569</v>
      </c>
      <c r="E98" s="164"/>
      <c r="F98" s="191">
        <v>36113065</v>
      </c>
      <c r="G98" s="192">
        <v>118488777</v>
      </c>
      <c r="H98" s="193">
        <v>37214437</v>
      </c>
      <c r="I98" s="182">
        <v>40691551</v>
      </c>
      <c r="J98" s="182">
        <v>44515781</v>
      </c>
      <c r="K98" s="182">
        <v>89543762</v>
      </c>
      <c r="L98" s="8"/>
      <c r="M98" s="427"/>
      <c r="N98" s="1321"/>
      <c r="O98" s="1322"/>
      <c r="P98" s="1323"/>
      <c r="Q98" s="1319"/>
    </row>
    <row r="99" spans="1:17" ht="18" x14ac:dyDescent="0.25">
      <c r="A99" s="1320"/>
      <c r="B99" s="518" t="s">
        <v>954</v>
      </c>
      <c r="C99" s="250"/>
      <c r="D99" s="217" t="s">
        <v>1321</v>
      </c>
      <c r="E99" s="160" t="s">
        <v>1321</v>
      </c>
      <c r="F99" s="191">
        <v>22720782</v>
      </c>
      <c r="G99" s="192">
        <v>70074024</v>
      </c>
      <c r="H99" s="193">
        <v>23464783</v>
      </c>
      <c r="I99" s="182">
        <v>25122699</v>
      </c>
      <c r="J99" s="182">
        <v>27475633</v>
      </c>
      <c r="K99" s="218" t="s">
        <v>446</v>
      </c>
      <c r="L99" s="8"/>
      <c r="M99" s="427"/>
      <c r="N99" s="1321"/>
      <c r="O99" s="1322"/>
      <c r="P99" s="1331"/>
      <c r="Q99" s="1319"/>
    </row>
    <row r="100" spans="1:17" ht="18" x14ac:dyDescent="0.2">
      <c r="A100" s="1320"/>
      <c r="B100" s="518" t="s">
        <v>975</v>
      </c>
      <c r="C100" s="202"/>
      <c r="D100" s="217" t="s">
        <v>1321</v>
      </c>
      <c r="E100" s="160" t="s">
        <v>1321</v>
      </c>
      <c r="F100" s="219" t="s">
        <v>446</v>
      </c>
      <c r="G100" s="180">
        <v>95691188</v>
      </c>
      <c r="H100" s="220" t="s">
        <v>446</v>
      </c>
      <c r="I100" s="180">
        <v>29105544</v>
      </c>
      <c r="J100" s="221" t="s">
        <v>446</v>
      </c>
      <c r="K100" s="180">
        <v>68255848</v>
      </c>
      <c r="L100" s="1341"/>
      <c r="M100" s="1342"/>
      <c r="N100" s="1314"/>
      <c r="O100" s="1322"/>
      <c r="P100" s="1343"/>
      <c r="Q100" s="1319"/>
    </row>
    <row r="101" spans="1:17" ht="18" x14ac:dyDescent="0.2">
      <c r="A101" s="1320"/>
      <c r="B101" s="1373" t="s">
        <v>960</v>
      </c>
      <c r="C101" s="222"/>
      <c r="D101" s="223" t="s">
        <v>1321</v>
      </c>
      <c r="E101" s="224" t="s">
        <v>1321</v>
      </c>
      <c r="F101" s="225" t="s">
        <v>976</v>
      </c>
      <c r="G101" s="218" t="s">
        <v>976</v>
      </c>
      <c r="H101" s="226" t="s">
        <v>976</v>
      </c>
      <c r="I101" s="218" t="s">
        <v>976</v>
      </c>
      <c r="J101" s="218" t="s">
        <v>976</v>
      </c>
      <c r="K101" s="218" t="s">
        <v>976</v>
      </c>
      <c r="L101" s="1312"/>
      <c r="M101" s="1342"/>
      <c r="N101" s="1314"/>
      <c r="O101" s="1322"/>
      <c r="P101" s="1343"/>
      <c r="Q101" s="1319"/>
    </row>
    <row r="102" spans="1:17" ht="18" x14ac:dyDescent="0.2">
      <c r="A102" s="1320"/>
      <c r="B102" s="3156"/>
      <c r="C102" s="142"/>
      <c r="D102" s="3524"/>
      <c r="E102" s="3524"/>
      <c r="F102" s="229"/>
      <c r="G102" s="229"/>
      <c r="H102" s="229"/>
      <c r="I102" s="229"/>
      <c r="J102" s="229"/>
      <c r="K102" s="229"/>
      <c r="L102" s="1312"/>
      <c r="M102" s="1342"/>
      <c r="N102" s="1314"/>
      <c r="O102" s="1322"/>
      <c r="P102" s="1343"/>
      <c r="Q102" s="1319"/>
    </row>
    <row r="103" spans="1:17" ht="18" x14ac:dyDescent="0.2">
      <c r="A103" s="1320"/>
      <c r="B103" s="140" t="s">
        <v>2744</v>
      </c>
      <c r="C103" s="227"/>
      <c r="D103" s="227"/>
      <c r="E103" s="227"/>
      <c r="F103" s="228"/>
      <c r="G103" s="228"/>
      <c r="H103" s="228"/>
      <c r="I103" s="229"/>
      <c r="J103" s="229"/>
      <c r="K103" s="229"/>
      <c r="L103" s="1312"/>
      <c r="M103" s="427"/>
      <c r="N103" s="1321"/>
      <c r="O103" s="1322"/>
      <c r="P103" s="1335"/>
      <c r="Q103" s="1336"/>
    </row>
    <row r="104" spans="1:17" ht="18" x14ac:dyDescent="0.2">
      <c r="A104" s="1320"/>
      <c r="B104" s="140" t="s">
        <v>2745</v>
      </c>
      <c r="C104" s="227"/>
      <c r="D104" s="227"/>
      <c r="E104" s="227"/>
      <c r="F104" s="228"/>
      <c r="G104" s="228"/>
      <c r="H104" s="228"/>
      <c r="I104" s="229"/>
      <c r="J104" s="229"/>
      <c r="K104" s="229"/>
      <c r="L104" s="1312"/>
      <c r="M104" s="427"/>
      <c r="N104" s="1321"/>
      <c r="O104" s="1322"/>
      <c r="P104" s="1335"/>
      <c r="Q104" s="1336"/>
    </row>
    <row r="105" spans="1:17" ht="18" x14ac:dyDescent="0.2">
      <c r="A105" s="1320"/>
      <c r="B105" s="142" t="s">
        <v>2751</v>
      </c>
      <c r="C105" s="227"/>
      <c r="D105" s="227"/>
      <c r="E105" s="227"/>
      <c r="F105" s="228"/>
      <c r="G105" s="228"/>
      <c r="H105" s="228"/>
      <c r="I105" s="229"/>
      <c r="J105" s="229"/>
      <c r="K105" s="229"/>
      <c r="L105" s="1312"/>
      <c r="M105" s="427"/>
      <c r="N105" s="1321"/>
      <c r="O105" s="1322"/>
      <c r="P105" s="1335"/>
      <c r="Q105" s="1336"/>
    </row>
    <row r="108" spans="1:17" ht="15" customHeight="1" x14ac:dyDescent="0.25">
      <c r="B108" s="146" t="s">
        <v>957</v>
      </c>
      <c r="C108" s="147"/>
      <c r="D108" s="4973" t="s">
        <v>1320</v>
      </c>
      <c r="E108" s="4970" t="s">
        <v>44</v>
      </c>
      <c r="F108" s="1613" t="s">
        <v>991</v>
      </c>
      <c r="G108" s="1613" t="s">
        <v>998</v>
      </c>
      <c r="H108" s="1613" t="s">
        <v>1001</v>
      </c>
      <c r="I108" s="1613" t="s">
        <v>1004</v>
      </c>
      <c r="J108" s="230"/>
      <c r="K108" s="230"/>
    </row>
    <row r="109" spans="1:17" ht="25.5" x14ac:dyDescent="0.2">
      <c r="B109" s="4968" t="s">
        <v>1056</v>
      </c>
      <c r="C109" s="148"/>
      <c r="D109" s="4974"/>
      <c r="E109" s="4971"/>
      <c r="F109" s="1610" t="s">
        <v>1007</v>
      </c>
      <c r="G109" s="1610" t="s">
        <v>999</v>
      </c>
      <c r="H109" s="1610" t="s">
        <v>1002</v>
      </c>
      <c r="I109" s="1610" t="s">
        <v>1005</v>
      </c>
      <c r="J109" s="231"/>
      <c r="K109" s="231"/>
    </row>
    <row r="110" spans="1:17" ht="15" customHeight="1" x14ac:dyDescent="0.2">
      <c r="B110" s="4969"/>
      <c r="C110" s="148"/>
      <c r="D110" s="4974"/>
      <c r="E110" s="4971"/>
      <c r="F110" s="149" t="s">
        <v>1951</v>
      </c>
      <c r="G110" s="232" t="s">
        <v>1951</v>
      </c>
      <c r="H110" s="232" t="s">
        <v>1951</v>
      </c>
      <c r="I110" s="232" t="s">
        <v>1951</v>
      </c>
      <c r="J110" s="233"/>
      <c r="K110" s="233"/>
    </row>
    <row r="111" spans="1:17" ht="14.25" customHeight="1" x14ac:dyDescent="0.2">
      <c r="B111" s="155" t="s">
        <v>997</v>
      </c>
      <c r="C111" s="234"/>
      <c r="D111" s="4975"/>
      <c r="E111" s="4976"/>
      <c r="F111" s="152" t="s">
        <v>996</v>
      </c>
      <c r="G111" s="152" t="s">
        <v>1000</v>
      </c>
      <c r="H111" s="153" t="s">
        <v>1003</v>
      </c>
      <c r="I111" s="153" t="s">
        <v>1006</v>
      </c>
    </row>
    <row r="112" spans="1:17" ht="15.75" hidden="1" x14ac:dyDescent="0.2">
      <c r="B112" s="155"/>
      <c r="C112" s="148"/>
      <c r="D112" s="138">
        <v>100</v>
      </c>
      <c r="F112" s="156">
        <f>MIN(F113:F198)</f>
        <v>150627544</v>
      </c>
      <c r="G112" s="156">
        <f>MIN(G113:G198)</f>
        <v>116090808</v>
      </c>
      <c r="H112" s="156">
        <f>MIN(H113:H198)</f>
        <v>107039399</v>
      </c>
      <c r="I112" s="156">
        <f>MIN(I113:I198)</f>
        <v>155382738</v>
      </c>
    </row>
    <row r="113" spans="2:9" ht="18" customHeight="1" x14ac:dyDescent="0.2">
      <c r="B113" s="157" t="s">
        <v>983</v>
      </c>
      <c r="C113" s="235"/>
      <c r="D113" s="236">
        <f t="shared" ref="D113:D144" si="5">SUM(F113/F$112,G113/G$112,H113/H$112,I113/I$112)/4*100</f>
        <v>162.38664993274466</v>
      </c>
      <c r="E113" s="160" t="s">
        <v>1321</v>
      </c>
      <c r="F113" s="237">
        <v>243568446</v>
      </c>
      <c r="G113" s="162">
        <v>184389200</v>
      </c>
      <c r="H113" s="161">
        <v>175104080</v>
      </c>
      <c r="I113" s="161">
        <v>257040080</v>
      </c>
    </row>
    <row r="114" spans="2:9" ht="18" customHeight="1" x14ac:dyDescent="0.2">
      <c r="B114" s="553" t="s">
        <v>1348</v>
      </c>
      <c r="C114" s="168"/>
      <c r="D114" s="238">
        <f t="shared" si="5"/>
        <v>100.05566935153038</v>
      </c>
      <c r="E114" s="164">
        <f>1289.1+994.4+914.7+1365.4</f>
        <v>4563.6000000000004</v>
      </c>
      <c r="F114" s="239">
        <v>150627544</v>
      </c>
      <c r="G114" s="182">
        <v>116349316</v>
      </c>
      <c r="H114" s="182">
        <v>107039399</v>
      </c>
      <c r="I114" s="182">
        <v>155382738</v>
      </c>
    </row>
    <row r="115" spans="2:9" ht="18" customHeight="1" x14ac:dyDescent="0.2">
      <c r="B115" s="2486" t="s">
        <v>2238</v>
      </c>
      <c r="C115" s="168"/>
      <c r="D115" s="238">
        <f t="shared" si="5"/>
        <v>100.05581473644938</v>
      </c>
      <c r="E115" s="1362">
        <f>598.4+457.1+468.1+685.4</f>
        <v>2209</v>
      </c>
      <c r="F115" s="1366">
        <v>150784899</v>
      </c>
      <c r="G115" s="1566">
        <v>116147298</v>
      </c>
      <c r="H115" s="1566">
        <v>107097221</v>
      </c>
      <c r="I115" s="1566">
        <v>155407775</v>
      </c>
    </row>
    <row r="116" spans="2:9" ht="18" customHeight="1" x14ac:dyDescent="0.2">
      <c r="B116" s="553" t="s">
        <v>1350</v>
      </c>
      <c r="C116" s="168"/>
      <c r="D116" s="238">
        <f t="shared" si="5"/>
        <v>100.09863679448306</v>
      </c>
      <c r="E116" s="164">
        <f>1265.6+994.8+895.4+1329.9</f>
        <v>4485.7</v>
      </c>
      <c r="F116" s="240">
        <v>150777093</v>
      </c>
      <c r="G116" s="192">
        <v>116243444</v>
      </c>
      <c r="H116" s="192">
        <v>107126805</v>
      </c>
      <c r="I116" s="241">
        <v>155510347</v>
      </c>
    </row>
    <row r="117" spans="2:9" ht="18" customHeight="1" x14ac:dyDescent="0.2">
      <c r="B117" s="553" t="s">
        <v>1393</v>
      </c>
      <c r="C117" s="173"/>
      <c r="D117" s="238">
        <f t="shared" si="5"/>
        <v>100.1462245293868</v>
      </c>
      <c r="E117" s="164">
        <f>752.4+559.1+535+772.2</f>
        <v>2618.6999999999998</v>
      </c>
      <c r="F117" s="240">
        <v>151091076</v>
      </c>
      <c r="G117" s="192">
        <v>116090808</v>
      </c>
      <c r="H117" s="192">
        <v>107213308</v>
      </c>
      <c r="I117" s="241">
        <v>155560950</v>
      </c>
    </row>
    <row r="118" spans="2:9" ht="18" customHeight="1" x14ac:dyDescent="0.2">
      <c r="B118" s="4710" t="s">
        <v>2085</v>
      </c>
      <c r="C118" s="173"/>
      <c r="D118" s="238">
        <f t="shared" si="5"/>
        <v>100.17983538135992</v>
      </c>
      <c r="E118" s="2321">
        <f>243.5+185+197.7+303.4</f>
        <v>929.6</v>
      </c>
      <c r="F118" s="3185">
        <v>151024626</v>
      </c>
      <c r="G118" s="3186">
        <v>116356272</v>
      </c>
      <c r="H118" s="3186">
        <v>107212945</v>
      </c>
      <c r="I118" s="3187">
        <v>155483614</v>
      </c>
    </row>
    <row r="119" spans="2:9" ht="18" customHeight="1" x14ac:dyDescent="0.2">
      <c r="B119" s="2486" t="s">
        <v>2645</v>
      </c>
      <c r="C119" s="173"/>
      <c r="D119" s="238">
        <f t="shared" si="5"/>
        <v>100.20397801151239</v>
      </c>
      <c r="E119" s="204">
        <f>190.6+143.9+145.7+201.7</f>
        <v>681.9</v>
      </c>
      <c r="F119" s="2165">
        <v>151072252</v>
      </c>
      <c r="G119" s="1367">
        <v>116328682</v>
      </c>
      <c r="H119" s="1367">
        <v>107259224</v>
      </c>
      <c r="I119" s="1368">
        <v>155554286</v>
      </c>
    </row>
    <row r="120" spans="2:9" ht="18" customHeight="1" x14ac:dyDescent="0.2">
      <c r="B120" s="2486" t="s">
        <v>2646</v>
      </c>
      <c r="C120" s="173"/>
      <c r="D120" s="238">
        <f t="shared" si="5"/>
        <v>100.23764948216436</v>
      </c>
      <c r="E120" s="204">
        <f>140.4+106.2+99.4+144.6</f>
        <v>490.6</v>
      </c>
      <c r="F120" s="2165">
        <v>151252486</v>
      </c>
      <c r="G120" s="1367">
        <v>116281288</v>
      </c>
      <c r="H120" s="1367">
        <v>107296266</v>
      </c>
      <c r="I120" s="1368">
        <v>155587304</v>
      </c>
    </row>
    <row r="121" spans="2:9" ht="18" customHeight="1" x14ac:dyDescent="0.2">
      <c r="B121" s="3032" t="s">
        <v>1355</v>
      </c>
      <c r="C121" s="3036"/>
      <c r="D121" s="238">
        <f t="shared" si="5"/>
        <v>100.38896870311933</v>
      </c>
      <c r="E121" s="2321">
        <f>133.3+99.9+91.6+143.6</f>
        <v>468.4</v>
      </c>
      <c r="F121" s="3025">
        <v>151690983</v>
      </c>
      <c r="G121" s="3026">
        <v>116452328</v>
      </c>
      <c r="H121" s="3026">
        <v>107400789</v>
      </c>
      <c r="I121" s="3027">
        <v>155694800</v>
      </c>
    </row>
    <row r="122" spans="2:9" ht="18" customHeight="1" x14ac:dyDescent="0.2">
      <c r="B122" s="1688" t="s">
        <v>1356</v>
      </c>
      <c r="C122" s="3037"/>
      <c r="D122" s="238">
        <f t="shared" si="5"/>
        <v>100.44987434466263</v>
      </c>
      <c r="E122" s="2321">
        <f>102.7+79.8+76.3+108.2</f>
        <v>367</v>
      </c>
      <c r="F122" s="3025">
        <v>151867224</v>
      </c>
      <c r="G122" s="3026">
        <v>116505875</v>
      </c>
      <c r="H122" s="3026">
        <v>107445761</v>
      </c>
      <c r="I122" s="3027">
        <v>155754589</v>
      </c>
    </row>
    <row r="123" spans="2:9" ht="18" customHeight="1" x14ac:dyDescent="0.2">
      <c r="B123" s="1688" t="s">
        <v>1359</v>
      </c>
      <c r="C123" s="3344"/>
      <c r="D123" s="238">
        <f t="shared" si="5"/>
        <v>101.66288589680622</v>
      </c>
      <c r="E123" s="2321">
        <f>11.72+7.66+6.9+11.07</f>
        <v>37.35</v>
      </c>
      <c r="F123" s="3025">
        <v>153303507</v>
      </c>
      <c r="G123" s="3026">
        <v>119254076</v>
      </c>
      <c r="H123" s="3026">
        <v>108185096</v>
      </c>
      <c r="I123" s="3027">
        <v>157060604</v>
      </c>
    </row>
    <row r="124" spans="2:9" ht="18" customHeight="1" x14ac:dyDescent="0.2">
      <c r="B124" s="2487" t="s">
        <v>1377</v>
      </c>
      <c r="C124" s="582"/>
      <c r="D124" s="238">
        <f t="shared" si="5"/>
        <v>101.66288589680622</v>
      </c>
      <c r="E124" s="204">
        <f>10.79+7.59+7.32+10.94</f>
        <v>36.64</v>
      </c>
      <c r="F124" s="2165">
        <v>153303507</v>
      </c>
      <c r="G124" s="1367">
        <v>119254076</v>
      </c>
      <c r="H124" s="1367">
        <v>108185096</v>
      </c>
      <c r="I124" s="1368">
        <v>157060604</v>
      </c>
    </row>
    <row r="125" spans="2:9" ht="18" customHeight="1" x14ac:dyDescent="0.2">
      <c r="B125" s="3343" t="s">
        <v>950</v>
      </c>
      <c r="C125" s="641" t="s">
        <v>40</v>
      </c>
      <c r="D125" s="238">
        <f t="shared" si="5"/>
        <v>102.68553439732482</v>
      </c>
      <c r="E125" s="164"/>
      <c r="F125" s="240">
        <v>157647263</v>
      </c>
      <c r="G125" s="192">
        <v>119848083</v>
      </c>
      <c r="H125" s="192">
        <v>108344006</v>
      </c>
      <c r="I125" s="241">
        <v>157910062</v>
      </c>
    </row>
    <row r="126" spans="2:9" ht="18" customHeight="1" x14ac:dyDescent="0.2">
      <c r="B126" s="2919" t="s">
        <v>1394</v>
      </c>
      <c r="C126" s="2414" t="s">
        <v>40</v>
      </c>
      <c r="D126" s="238">
        <f t="shared" si="5"/>
        <v>103.09117981117721</v>
      </c>
      <c r="E126" s="204">
        <f>744.1+473.9+466.8+665.5</f>
        <v>2350.3000000000002</v>
      </c>
      <c r="F126" s="1366">
        <v>154239743</v>
      </c>
      <c r="G126" s="1367">
        <v>118334498</v>
      </c>
      <c r="H126" s="1367">
        <v>109902899</v>
      </c>
      <c r="I126" s="1368">
        <v>163709285</v>
      </c>
    </row>
    <row r="127" spans="2:9" ht="18" customHeight="1" x14ac:dyDescent="0.2">
      <c r="B127" s="2479" t="s">
        <v>1361</v>
      </c>
      <c r="C127" s="1462" t="s">
        <v>40</v>
      </c>
      <c r="D127" s="238">
        <f t="shared" si="5"/>
        <v>103.16634783218352</v>
      </c>
      <c r="E127" s="204">
        <f>1810.2+1357.8+1214.2+2142.5</f>
        <v>6524.7</v>
      </c>
      <c r="F127" s="2165">
        <v>153713436</v>
      </c>
      <c r="G127" s="1367">
        <v>120233703</v>
      </c>
      <c r="H127" s="1367">
        <v>109412800</v>
      </c>
      <c r="I127" s="1368">
        <v>162888840</v>
      </c>
    </row>
    <row r="128" spans="2:9" ht="18" customHeight="1" x14ac:dyDescent="0.2">
      <c r="B128" s="1778" t="s">
        <v>1395</v>
      </c>
      <c r="C128" s="575" t="s">
        <v>40</v>
      </c>
      <c r="D128" s="238">
        <f t="shared" si="5"/>
        <v>104.60299604125431</v>
      </c>
      <c r="E128" s="1362">
        <f>16.23+12.09+10.73+16.51</f>
        <v>55.56</v>
      </c>
      <c r="F128" s="1366">
        <v>158952276</v>
      </c>
      <c r="G128" s="1367">
        <v>124126347</v>
      </c>
      <c r="H128" s="1367">
        <v>110343975</v>
      </c>
      <c r="I128" s="1368">
        <v>159851953</v>
      </c>
    </row>
    <row r="129" spans="2:9" ht="18" customHeight="1" x14ac:dyDescent="0.2">
      <c r="B129" s="497" t="s">
        <v>1378</v>
      </c>
      <c r="C129" s="201" t="s">
        <v>40</v>
      </c>
      <c r="D129" s="238">
        <f t="shared" si="5"/>
        <v>105.4811588618068</v>
      </c>
      <c r="E129" s="164">
        <f>5.5+4+3.7+5.4</f>
        <v>18.600000000000001</v>
      </c>
      <c r="F129" s="240">
        <v>161101872</v>
      </c>
      <c r="G129" s="192">
        <v>126663458</v>
      </c>
      <c r="H129" s="192">
        <v>110225473</v>
      </c>
      <c r="I129" s="241">
        <v>159868754</v>
      </c>
    </row>
    <row r="130" spans="2:9" ht="18" customHeight="1" x14ac:dyDescent="0.2">
      <c r="B130" s="3035" t="s">
        <v>949</v>
      </c>
      <c r="C130" s="178"/>
      <c r="D130" s="238">
        <f t="shared" si="5"/>
        <v>105.61440877801513</v>
      </c>
      <c r="E130" s="164"/>
      <c r="F130" s="240">
        <v>160385778</v>
      </c>
      <c r="G130" s="192">
        <v>126207808</v>
      </c>
      <c r="H130" s="192">
        <v>111549742</v>
      </c>
      <c r="I130" s="241">
        <v>160123150</v>
      </c>
    </row>
    <row r="131" spans="2:9" ht="18" customHeight="1" x14ac:dyDescent="0.2">
      <c r="B131" s="497" t="s">
        <v>1360</v>
      </c>
      <c r="C131" s="1365" t="s">
        <v>40</v>
      </c>
      <c r="D131" s="238">
        <f t="shared" si="5"/>
        <v>106.16755286745891</v>
      </c>
      <c r="E131" s="1362">
        <f>713.6+593.2+462.6+709.7</f>
        <v>2479.1000000000004</v>
      </c>
      <c r="F131" s="1366">
        <v>160298734</v>
      </c>
      <c r="G131" s="1367">
        <v>124486694</v>
      </c>
      <c r="H131" s="1367">
        <v>112181482</v>
      </c>
      <c r="I131" s="1368">
        <v>165037484</v>
      </c>
    </row>
    <row r="132" spans="2:9" ht="18" customHeight="1" x14ac:dyDescent="0.2">
      <c r="B132" s="2313" t="s">
        <v>2086</v>
      </c>
      <c r="C132" s="242" t="s">
        <v>40</v>
      </c>
      <c r="D132" s="238">
        <f t="shared" si="5"/>
        <v>106.16755286745891</v>
      </c>
      <c r="E132" s="164">
        <f>673.5+530.69+432.16+627.11</f>
        <v>2263.46</v>
      </c>
      <c r="F132" s="243">
        <v>160298734</v>
      </c>
      <c r="G132" s="244">
        <v>124486694</v>
      </c>
      <c r="H132" s="244">
        <v>112181482</v>
      </c>
      <c r="I132" s="245">
        <v>165037484</v>
      </c>
    </row>
    <row r="133" spans="2:9" ht="18" customHeight="1" x14ac:dyDescent="0.2">
      <c r="B133" s="524" t="s">
        <v>1379</v>
      </c>
      <c r="C133" s="201" t="s">
        <v>40</v>
      </c>
      <c r="D133" s="238">
        <f t="shared" si="5"/>
        <v>107.51232285064955</v>
      </c>
      <c r="E133" s="164">
        <f>44.31+32.31+29.23+44.25</f>
        <v>150.10000000000002</v>
      </c>
      <c r="F133" s="240">
        <v>161428354</v>
      </c>
      <c r="G133" s="192">
        <v>130192397</v>
      </c>
      <c r="H133" s="192">
        <v>113900221</v>
      </c>
      <c r="I133" s="241">
        <v>162098526</v>
      </c>
    </row>
    <row r="134" spans="2:9" ht="18" customHeight="1" x14ac:dyDescent="0.2">
      <c r="B134" s="2488" t="s">
        <v>2087</v>
      </c>
      <c r="C134" s="201" t="s">
        <v>40</v>
      </c>
      <c r="D134" s="238">
        <f t="shared" si="5"/>
        <v>107.51232285064955</v>
      </c>
      <c r="E134" s="164">
        <f>17.53+13.27+11.83+17.5</f>
        <v>60.13</v>
      </c>
      <c r="F134" s="240">
        <v>161428354</v>
      </c>
      <c r="G134" s="192">
        <v>130192397</v>
      </c>
      <c r="H134" s="192">
        <v>113900221</v>
      </c>
      <c r="I134" s="241">
        <v>162098526</v>
      </c>
    </row>
    <row r="135" spans="2:9" ht="18" customHeight="1" x14ac:dyDescent="0.2">
      <c r="B135" s="1435" t="s">
        <v>1365</v>
      </c>
      <c r="C135" s="190" t="s">
        <v>40</v>
      </c>
      <c r="D135" s="238">
        <f t="shared" si="5"/>
        <v>110.18994269588676</v>
      </c>
      <c r="E135" s="1362">
        <f>7.71+6.41+5.26+8.19</f>
        <v>27.57</v>
      </c>
      <c r="F135" s="1366">
        <v>164136530</v>
      </c>
      <c r="G135" s="1367">
        <v>132933026</v>
      </c>
      <c r="H135" s="1367">
        <v>116044102</v>
      </c>
      <c r="I135" s="1368">
        <v>169166728</v>
      </c>
    </row>
    <row r="136" spans="2:9" ht="18" customHeight="1" x14ac:dyDescent="0.2">
      <c r="B136" s="2492" t="s">
        <v>2088</v>
      </c>
      <c r="C136" s="1364" t="s">
        <v>40</v>
      </c>
      <c r="D136" s="238">
        <f t="shared" si="5"/>
        <v>110.18994269588676</v>
      </c>
      <c r="E136" s="1362">
        <f>7.57+5.88+4.11+7.68</f>
        <v>25.24</v>
      </c>
      <c r="F136" s="1366">
        <v>164136530</v>
      </c>
      <c r="G136" s="1367">
        <v>132933026</v>
      </c>
      <c r="H136" s="1367">
        <v>116044102</v>
      </c>
      <c r="I136" s="1368">
        <v>169166728</v>
      </c>
    </row>
    <row r="137" spans="2:9" ht="18" customHeight="1" x14ac:dyDescent="0.25">
      <c r="B137" s="497" t="s">
        <v>951</v>
      </c>
      <c r="C137" s="200"/>
      <c r="D137" s="238">
        <f t="shared" si="5"/>
        <v>113.42260244077032</v>
      </c>
      <c r="E137" s="164"/>
      <c r="F137" s="240">
        <v>167909042</v>
      </c>
      <c r="G137" s="192">
        <v>141474012</v>
      </c>
      <c r="H137" s="192">
        <v>120674792</v>
      </c>
      <c r="I137" s="241">
        <v>167213248</v>
      </c>
    </row>
    <row r="138" spans="2:9" ht="18" customHeight="1" x14ac:dyDescent="0.25">
      <c r="B138" s="497" t="s">
        <v>2072</v>
      </c>
      <c r="C138" s="216"/>
      <c r="D138" s="238">
        <f t="shared" si="5"/>
        <v>114.96358018655886</v>
      </c>
      <c r="E138" s="164"/>
      <c r="F138" s="240">
        <v>167178516</v>
      </c>
      <c r="G138" s="192">
        <v>147478746</v>
      </c>
      <c r="H138" s="192">
        <v>123160275</v>
      </c>
      <c r="I138" s="241">
        <v>165899374</v>
      </c>
    </row>
    <row r="139" spans="2:9" ht="18" customHeight="1" x14ac:dyDescent="0.2">
      <c r="B139" s="497" t="s">
        <v>955</v>
      </c>
      <c r="C139" s="178"/>
      <c r="D139" s="238">
        <f t="shared" si="5"/>
        <v>115.61243942479888</v>
      </c>
      <c r="E139" s="164"/>
      <c r="F139" s="240">
        <v>170197350</v>
      </c>
      <c r="G139" s="192">
        <v>144628460</v>
      </c>
      <c r="H139" s="192">
        <v>122914676</v>
      </c>
      <c r="I139" s="241">
        <v>170989610</v>
      </c>
    </row>
    <row r="140" spans="2:9" ht="18" customHeight="1" x14ac:dyDescent="0.2">
      <c r="B140" s="2493" t="s">
        <v>2216</v>
      </c>
      <c r="C140" s="178"/>
      <c r="D140" s="238">
        <f t="shared" si="5"/>
        <v>121.17289175809951</v>
      </c>
      <c r="E140" s="164">
        <f>115.4+91.4+89.8+125.9</f>
        <v>422.5</v>
      </c>
      <c r="F140" s="240">
        <v>177029669</v>
      </c>
      <c r="G140" s="192">
        <v>145786015</v>
      </c>
      <c r="H140" s="192">
        <v>129376907</v>
      </c>
      <c r="I140" s="241">
        <v>187571356</v>
      </c>
    </row>
    <row r="141" spans="2:9" ht="18" customHeight="1" x14ac:dyDescent="0.2">
      <c r="B141" s="497" t="s">
        <v>943</v>
      </c>
      <c r="C141" s="178"/>
      <c r="D141" s="238">
        <f t="shared" si="5"/>
        <v>121.22802367630786</v>
      </c>
      <c r="E141" s="164">
        <f>54.41+36.86+37.26+58.43</f>
        <v>186.96</v>
      </c>
      <c r="F141" s="240">
        <v>175637744</v>
      </c>
      <c r="G141" s="192">
        <v>146398256</v>
      </c>
      <c r="H141" s="192">
        <v>130638912</v>
      </c>
      <c r="I141" s="241">
        <v>186698448</v>
      </c>
    </row>
    <row r="142" spans="2:9" ht="18" customHeight="1" x14ac:dyDescent="0.2">
      <c r="B142" s="2313" t="s">
        <v>2077</v>
      </c>
      <c r="C142" s="178"/>
      <c r="D142" s="238">
        <f t="shared" si="5"/>
        <v>121.56212576824417</v>
      </c>
      <c r="E142" s="164">
        <f>56.618+42.779+39.48+58.364</f>
        <v>197.24100000000001</v>
      </c>
      <c r="F142" s="243">
        <v>174969168</v>
      </c>
      <c r="G142" s="244">
        <v>147656821</v>
      </c>
      <c r="H142" s="244">
        <v>130984280</v>
      </c>
      <c r="I142" s="245">
        <v>187278791</v>
      </c>
    </row>
    <row r="143" spans="2:9" ht="18" customHeight="1" x14ac:dyDescent="0.2">
      <c r="B143" s="2313" t="s">
        <v>2621</v>
      </c>
      <c r="C143" s="201"/>
      <c r="D143" s="238">
        <f t="shared" si="5"/>
        <v>123.8657817624695</v>
      </c>
      <c r="E143" s="164">
        <f>23702.3+16602.8+17809+24596.6</f>
        <v>82710.7</v>
      </c>
      <c r="F143" s="240">
        <v>176778255</v>
      </c>
      <c r="G143" s="192">
        <v>152379805</v>
      </c>
      <c r="H143" s="192">
        <v>133931978</v>
      </c>
      <c r="I143" s="241">
        <v>189130011</v>
      </c>
    </row>
    <row r="144" spans="2:9" ht="18" customHeight="1" x14ac:dyDescent="0.2">
      <c r="B144" s="509" t="s">
        <v>1370</v>
      </c>
      <c r="C144" s="178"/>
      <c r="D144" s="238">
        <f t="shared" si="5"/>
        <v>124.46272952893933</v>
      </c>
      <c r="E144" s="164">
        <f>127.9+113.4+108.9+134.3</f>
        <v>484.50000000000006</v>
      </c>
      <c r="F144" s="243">
        <v>176619973</v>
      </c>
      <c r="G144" s="244">
        <v>158843595</v>
      </c>
      <c r="H144" s="244">
        <v>132325676</v>
      </c>
      <c r="I144" s="245">
        <v>186683763</v>
      </c>
    </row>
    <row r="145" spans="2:9" ht="18" customHeight="1" x14ac:dyDescent="0.2">
      <c r="B145" s="2313" t="s">
        <v>2075</v>
      </c>
      <c r="C145" s="178"/>
      <c r="D145" s="238">
        <f t="shared" ref="D145:D166" si="6">SUM(F145/F$112,G145/G$112,H145/H$112,I145/I$112)/4*100</f>
        <v>128.00020565930618</v>
      </c>
      <c r="E145" s="164">
        <f>35+35+30+44</f>
        <v>144</v>
      </c>
      <c r="F145" s="240">
        <v>186236580</v>
      </c>
      <c r="G145" s="192">
        <v>154698580</v>
      </c>
      <c r="H145" s="192">
        <v>138572535</v>
      </c>
      <c r="I145" s="241">
        <v>195229813</v>
      </c>
    </row>
    <row r="146" spans="2:9" ht="18" customHeight="1" x14ac:dyDescent="0.2">
      <c r="B146" s="502" t="s">
        <v>2084</v>
      </c>
      <c r="C146" s="178"/>
      <c r="D146" s="238">
        <f t="shared" si="6"/>
        <v>128.37063477677398</v>
      </c>
      <c r="E146" s="164">
        <f>22+17+18+26</f>
        <v>83</v>
      </c>
      <c r="F146" s="243">
        <v>186421382</v>
      </c>
      <c r="G146" s="244">
        <v>155537940</v>
      </c>
      <c r="H146" s="244">
        <v>139034969</v>
      </c>
      <c r="I146" s="245">
        <v>195546772</v>
      </c>
    </row>
    <row r="147" spans="2:9" ht="18" customHeight="1" x14ac:dyDescent="0.2">
      <c r="B147" s="497" t="s">
        <v>1382</v>
      </c>
      <c r="C147" s="201" t="s">
        <v>40</v>
      </c>
      <c r="D147" s="238">
        <f t="shared" si="6"/>
        <v>130.23404065867453</v>
      </c>
      <c r="E147" s="164"/>
      <c r="F147" s="240">
        <v>185333610</v>
      </c>
      <c r="G147" s="192">
        <v>161299916</v>
      </c>
      <c r="H147" s="192">
        <v>142696828</v>
      </c>
      <c r="I147" s="241">
        <v>195222659</v>
      </c>
    </row>
    <row r="148" spans="2:9" ht="18" customHeight="1" x14ac:dyDescent="0.2">
      <c r="B148" s="497" t="s">
        <v>968</v>
      </c>
      <c r="C148" s="178"/>
      <c r="D148" s="238">
        <f t="shared" si="6"/>
        <v>131.07364287463619</v>
      </c>
      <c r="E148" s="164"/>
      <c r="F148" s="240">
        <v>189040520</v>
      </c>
      <c r="G148" s="192">
        <v>159823206</v>
      </c>
      <c r="H148" s="192">
        <v>142191868</v>
      </c>
      <c r="I148" s="241">
        <v>199326648</v>
      </c>
    </row>
    <row r="149" spans="2:9" ht="18" customHeight="1" x14ac:dyDescent="0.2">
      <c r="B149" s="2313" t="s">
        <v>2808</v>
      </c>
      <c r="C149" s="201" t="s">
        <v>40</v>
      </c>
      <c r="D149" s="238">
        <f t="shared" si="6"/>
        <v>140.55797060918042</v>
      </c>
      <c r="E149" s="164">
        <f>106+57+59+106</f>
        <v>328</v>
      </c>
      <c r="F149" s="240">
        <v>202126029</v>
      </c>
      <c r="G149" s="192">
        <v>171634046</v>
      </c>
      <c r="H149" s="192">
        <v>153573927</v>
      </c>
      <c r="I149" s="241">
        <v>212445093</v>
      </c>
    </row>
    <row r="150" spans="2:9" ht="18" customHeight="1" x14ac:dyDescent="0.2">
      <c r="B150" s="2313" t="s">
        <v>2556</v>
      </c>
      <c r="C150" s="202"/>
      <c r="D150" s="238">
        <f t="shared" si="6"/>
        <v>140.73623218760105</v>
      </c>
      <c r="E150" s="164">
        <f>499.4+466.93+486.35+637.52</f>
        <v>2090.1999999999998</v>
      </c>
      <c r="F150" s="240">
        <v>202074559</v>
      </c>
      <c r="G150" s="192">
        <v>168447820</v>
      </c>
      <c r="H150" s="192">
        <v>153444298</v>
      </c>
      <c r="I150" s="241">
        <v>218058945</v>
      </c>
    </row>
    <row r="151" spans="2:9" ht="18" customHeight="1" x14ac:dyDescent="0.2">
      <c r="B151" s="2313" t="s">
        <v>2495</v>
      </c>
      <c r="C151" s="1365" t="s">
        <v>40</v>
      </c>
      <c r="D151" s="238">
        <f t="shared" si="6"/>
        <v>142.65861133897008</v>
      </c>
      <c r="E151" s="1362">
        <f>4454.09+3246.75+3154.16+5380.6</f>
        <v>16235.6</v>
      </c>
      <c r="F151" s="1366">
        <v>206268619</v>
      </c>
      <c r="G151" s="1367">
        <v>173396371</v>
      </c>
      <c r="H151" s="1367">
        <v>155676063</v>
      </c>
      <c r="I151" s="1368">
        <v>215817512</v>
      </c>
    </row>
    <row r="152" spans="2:9" ht="18" customHeight="1" x14ac:dyDescent="0.2">
      <c r="B152" s="497" t="s">
        <v>1396</v>
      </c>
      <c r="C152" s="178"/>
      <c r="D152" s="238">
        <f t="shared" si="6"/>
        <v>142.8509985497534</v>
      </c>
      <c r="E152" s="164">
        <f>167.53+142.47+129.19+178.05</f>
        <v>617.24</v>
      </c>
      <c r="F152" s="240">
        <v>197293500</v>
      </c>
      <c r="G152" s="192">
        <v>184009698</v>
      </c>
      <c r="H152" s="192">
        <v>161127331</v>
      </c>
      <c r="I152" s="241">
        <v>204152934</v>
      </c>
    </row>
    <row r="153" spans="2:9" ht="18" customHeight="1" x14ac:dyDescent="0.2">
      <c r="B153" s="497" t="s">
        <v>1390</v>
      </c>
      <c r="C153" s="1722"/>
      <c r="D153" s="238">
        <f t="shared" si="6"/>
        <v>145.54279182607493</v>
      </c>
      <c r="E153" s="1362">
        <f>475.4+353.5+305.9+451.6</f>
        <v>1586.4</v>
      </c>
      <c r="F153" s="1366">
        <v>210185686</v>
      </c>
      <c r="G153" s="1367">
        <v>176389401</v>
      </c>
      <c r="H153" s="1367">
        <v>157718789</v>
      </c>
      <c r="I153" s="1368">
        <v>222731510</v>
      </c>
    </row>
    <row r="154" spans="2:9" ht="18" customHeight="1" x14ac:dyDescent="0.2">
      <c r="B154" s="4713" t="s">
        <v>2574</v>
      </c>
      <c r="C154" s="1701"/>
      <c r="D154" s="238">
        <f t="shared" si="6"/>
        <v>147.2099010361101</v>
      </c>
      <c r="E154" s="164">
        <f>4759.3+3492.7+3865.6+4919.8</f>
        <v>17037.400000000001</v>
      </c>
      <c r="F154" s="240">
        <v>215957684</v>
      </c>
      <c r="G154" s="212">
        <v>176392963</v>
      </c>
      <c r="H154" s="212">
        <v>159798681</v>
      </c>
      <c r="I154" s="245">
        <v>224114871</v>
      </c>
    </row>
    <row r="155" spans="2:9" ht="18" customHeight="1" x14ac:dyDescent="0.2">
      <c r="B155" s="502" t="s">
        <v>2559</v>
      </c>
      <c r="C155" s="178"/>
      <c r="D155" s="238">
        <f t="shared" si="6"/>
        <v>152.35026026483777</v>
      </c>
      <c r="E155" s="164">
        <f>1377.6+1046.9+936.6+1670.9</f>
        <v>5032</v>
      </c>
      <c r="F155" s="240">
        <v>225648641</v>
      </c>
      <c r="G155" s="192">
        <v>180192925</v>
      </c>
      <c r="H155" s="192">
        <v>164878884</v>
      </c>
      <c r="I155" s="241">
        <v>233606181</v>
      </c>
    </row>
    <row r="156" spans="2:9" ht="18" customHeight="1" x14ac:dyDescent="0.25">
      <c r="B156" s="497" t="s">
        <v>1358</v>
      </c>
      <c r="C156" s="186"/>
      <c r="D156" s="238">
        <f t="shared" si="6"/>
        <v>152.45615296474622</v>
      </c>
      <c r="E156" s="164"/>
      <c r="F156" s="240">
        <v>225322396</v>
      </c>
      <c r="G156" s="192">
        <v>180085964</v>
      </c>
      <c r="H156" s="192">
        <v>164914160</v>
      </c>
      <c r="I156" s="241">
        <v>234692836</v>
      </c>
    </row>
    <row r="157" spans="2:9" ht="18" customHeight="1" x14ac:dyDescent="0.2">
      <c r="B157" s="497" t="s">
        <v>1711</v>
      </c>
      <c r="C157" s="201" t="s">
        <v>40</v>
      </c>
      <c r="D157" s="238">
        <f t="shared" si="6"/>
        <v>153.44481879329834</v>
      </c>
      <c r="E157" s="164">
        <f>75+44+45+80</f>
        <v>244</v>
      </c>
      <c r="F157" s="240">
        <v>224360676</v>
      </c>
      <c r="G157" s="192">
        <v>183049067</v>
      </c>
      <c r="H157" s="192">
        <v>166829491</v>
      </c>
      <c r="I157" s="241">
        <v>235083418</v>
      </c>
    </row>
    <row r="158" spans="2:9" ht="18" customHeight="1" x14ac:dyDescent="0.2">
      <c r="B158" s="2495" t="s">
        <v>2083</v>
      </c>
      <c r="C158" s="201" t="s">
        <v>40</v>
      </c>
      <c r="D158" s="238">
        <f t="shared" si="6"/>
        <v>155.10304017985007</v>
      </c>
      <c r="E158" s="164">
        <f>155.4+164+107.2+165.2</f>
        <v>591.79999999999995</v>
      </c>
      <c r="F158" s="240">
        <v>231805291</v>
      </c>
      <c r="G158" s="192">
        <v>179986699</v>
      </c>
      <c r="H158" s="192">
        <v>169001743</v>
      </c>
      <c r="I158" s="241">
        <v>238655665</v>
      </c>
    </row>
    <row r="159" spans="2:9" ht="18" customHeight="1" x14ac:dyDescent="0.2">
      <c r="B159" s="497" t="s">
        <v>958</v>
      </c>
      <c r="C159" s="178"/>
      <c r="D159" s="238">
        <f t="shared" si="6"/>
        <v>155.68868548414844</v>
      </c>
      <c r="E159" s="164"/>
      <c r="F159" s="240">
        <v>232137008</v>
      </c>
      <c r="G159" s="192">
        <v>183152127</v>
      </c>
      <c r="H159" s="192">
        <v>167827069</v>
      </c>
      <c r="I159" s="241">
        <v>239421853</v>
      </c>
    </row>
    <row r="160" spans="2:9" ht="18" customHeight="1" x14ac:dyDescent="0.2">
      <c r="B160" s="497" t="s">
        <v>1387</v>
      </c>
      <c r="C160" s="178"/>
      <c r="D160" s="238">
        <f t="shared" si="6"/>
        <v>156.04201008873025</v>
      </c>
      <c r="E160" s="164"/>
      <c r="F160" s="240">
        <v>228870703</v>
      </c>
      <c r="G160" s="192">
        <v>182901361</v>
      </c>
      <c r="H160" s="192">
        <v>168999491</v>
      </c>
      <c r="I160" s="241">
        <v>243620999</v>
      </c>
    </row>
    <row r="161" spans="2:9" ht="18" customHeight="1" x14ac:dyDescent="0.2">
      <c r="B161" s="502" t="s">
        <v>1779</v>
      </c>
      <c r="C161" s="201"/>
      <c r="D161" s="238">
        <f t="shared" si="6"/>
        <v>156.0806157217352</v>
      </c>
      <c r="E161" s="164">
        <f>68+53+49+70</f>
        <v>240</v>
      </c>
      <c r="F161" s="240">
        <v>235797251</v>
      </c>
      <c r="G161" s="192">
        <v>182029645</v>
      </c>
      <c r="H161" s="192">
        <v>167269248</v>
      </c>
      <c r="I161" s="241">
        <v>240394178</v>
      </c>
    </row>
    <row r="162" spans="2:9" ht="18" customHeight="1" x14ac:dyDescent="0.2">
      <c r="B162" s="497" t="s">
        <v>953</v>
      </c>
      <c r="C162" s="201" t="s">
        <v>40</v>
      </c>
      <c r="D162" s="238">
        <f t="shared" si="6"/>
        <v>158.26766240931147</v>
      </c>
      <c r="E162" s="164">
        <f>12.7+9.6+9.5+13.8</f>
        <v>45.599999999999994</v>
      </c>
      <c r="F162" s="240">
        <v>237513749</v>
      </c>
      <c r="G162" s="192">
        <v>183285672</v>
      </c>
      <c r="H162" s="192">
        <v>171008191</v>
      </c>
      <c r="I162" s="241">
        <v>245107922</v>
      </c>
    </row>
    <row r="163" spans="2:9" ht="18" customHeight="1" x14ac:dyDescent="0.2">
      <c r="B163" s="497" t="s">
        <v>1374</v>
      </c>
      <c r="C163" s="201" t="s">
        <v>40</v>
      </c>
      <c r="D163" s="238">
        <f t="shared" si="6"/>
        <v>158.60795048866072</v>
      </c>
      <c r="E163" s="164">
        <f>61+48+46+64</f>
        <v>219</v>
      </c>
      <c r="F163" s="240">
        <v>237700597</v>
      </c>
      <c r="G163" s="192">
        <v>184503096</v>
      </c>
      <c r="H163" s="192">
        <v>171249654</v>
      </c>
      <c r="I163" s="241">
        <v>245050182</v>
      </c>
    </row>
    <row r="164" spans="2:9" ht="18" customHeight="1" x14ac:dyDescent="0.2">
      <c r="B164" s="518" t="s">
        <v>963</v>
      </c>
      <c r="C164" s="178"/>
      <c r="D164" s="238">
        <f t="shared" si="6"/>
        <v>159.92755955683958</v>
      </c>
      <c r="E164" s="164"/>
      <c r="F164" s="240">
        <v>240581086</v>
      </c>
      <c r="G164" s="192">
        <v>183579529</v>
      </c>
      <c r="H164" s="192">
        <v>173373467</v>
      </c>
      <c r="I164" s="241">
        <v>248433680</v>
      </c>
    </row>
    <row r="165" spans="2:9" ht="18" customHeight="1" x14ac:dyDescent="0.2">
      <c r="B165" s="2313" t="s">
        <v>2585</v>
      </c>
      <c r="C165" s="201"/>
      <c r="D165" s="238">
        <f t="shared" si="6"/>
        <v>163.33779345197311</v>
      </c>
      <c r="E165" s="164">
        <f>124+90+85+145</f>
        <v>444</v>
      </c>
      <c r="F165" s="240">
        <v>246224154</v>
      </c>
      <c r="G165" s="214">
        <v>186598986</v>
      </c>
      <c r="H165" s="214">
        <v>177275784</v>
      </c>
      <c r="I165" s="241">
        <v>254101944</v>
      </c>
    </row>
    <row r="166" spans="2:9" ht="18" customHeight="1" x14ac:dyDescent="0.2">
      <c r="B166" s="518" t="s">
        <v>972</v>
      </c>
      <c r="C166" s="178"/>
      <c r="D166" s="238">
        <f t="shared" si="6"/>
        <v>164.01529687152555</v>
      </c>
      <c r="E166" s="164"/>
      <c r="F166" s="240">
        <v>246981873</v>
      </c>
      <c r="G166" s="192">
        <v>187269687</v>
      </c>
      <c r="H166" s="192">
        <v>177835637</v>
      </c>
      <c r="I166" s="241">
        <v>255820787</v>
      </c>
    </row>
    <row r="167" spans="2:9" ht="18" customHeight="1" x14ac:dyDescent="0.2">
      <c r="B167" s="559" t="s">
        <v>1376</v>
      </c>
      <c r="C167" s="201" t="s">
        <v>40</v>
      </c>
      <c r="D167" s="217" t="s">
        <v>1321</v>
      </c>
      <c r="E167" s="160" t="s">
        <v>1321</v>
      </c>
      <c r="F167" s="246" t="s">
        <v>482</v>
      </c>
      <c r="G167" s="247" t="s">
        <v>482</v>
      </c>
      <c r="H167" s="247" t="s">
        <v>482</v>
      </c>
      <c r="I167" s="248" t="s">
        <v>482</v>
      </c>
    </row>
    <row r="168" spans="2:9" ht="18" customHeight="1" x14ac:dyDescent="0.2">
      <c r="B168" s="1371" t="s">
        <v>962</v>
      </c>
      <c r="C168" s="215"/>
      <c r="D168" s="217" t="s">
        <v>1321</v>
      </c>
      <c r="E168" s="160" t="s">
        <v>1321</v>
      </c>
      <c r="F168" s="246" t="s">
        <v>482</v>
      </c>
      <c r="G168" s="247" t="s">
        <v>482</v>
      </c>
      <c r="H168" s="247" t="s">
        <v>482</v>
      </c>
      <c r="I168" s="248" t="s">
        <v>482</v>
      </c>
    </row>
    <row r="169" spans="2:9" ht="18" customHeight="1" x14ac:dyDescent="0.2">
      <c r="B169" s="1371" t="s">
        <v>959</v>
      </c>
      <c r="C169" s="178"/>
      <c r="D169" s="217" t="s">
        <v>1321</v>
      </c>
      <c r="E169" s="160" t="s">
        <v>1321</v>
      </c>
      <c r="F169" s="246" t="s">
        <v>482</v>
      </c>
      <c r="G169" s="247" t="s">
        <v>482</v>
      </c>
      <c r="H169" s="247" t="s">
        <v>482</v>
      </c>
      <c r="I169" s="248" t="s">
        <v>482</v>
      </c>
    </row>
    <row r="170" spans="2:9" ht="18" customHeight="1" x14ac:dyDescent="0.2">
      <c r="B170" s="497" t="s">
        <v>1383</v>
      </c>
      <c r="C170" s="201" t="s">
        <v>40</v>
      </c>
      <c r="D170" s="217" t="s">
        <v>1321</v>
      </c>
      <c r="E170" s="160" t="s">
        <v>1321</v>
      </c>
      <c r="F170" s="249" t="s">
        <v>482</v>
      </c>
      <c r="G170" s="218" t="s">
        <v>482</v>
      </c>
      <c r="H170" s="218" t="s">
        <v>482</v>
      </c>
      <c r="I170" s="218" t="s">
        <v>482</v>
      </c>
    </row>
    <row r="171" spans="2:9" ht="18" customHeight="1" x14ac:dyDescent="0.2">
      <c r="B171" s="497" t="s">
        <v>966</v>
      </c>
      <c r="C171" s="190" t="s">
        <v>40</v>
      </c>
      <c r="D171" s="217" t="s">
        <v>1321</v>
      </c>
      <c r="E171" s="160" t="s">
        <v>1321</v>
      </c>
      <c r="F171" s="249" t="s">
        <v>482</v>
      </c>
      <c r="G171" s="218" t="s">
        <v>482</v>
      </c>
      <c r="H171" s="218" t="s">
        <v>482</v>
      </c>
      <c r="I171" s="218" t="s">
        <v>482</v>
      </c>
    </row>
    <row r="172" spans="2:9" ht="18" customHeight="1" x14ac:dyDescent="0.2">
      <c r="B172" s="518" t="s">
        <v>969</v>
      </c>
      <c r="C172" s="178"/>
      <c r="D172" s="217" t="s">
        <v>1321</v>
      </c>
      <c r="E172" s="160" t="s">
        <v>1321</v>
      </c>
      <c r="F172" s="249" t="s">
        <v>482</v>
      </c>
      <c r="G172" s="218" t="s">
        <v>482</v>
      </c>
      <c r="H172" s="218" t="s">
        <v>482</v>
      </c>
      <c r="I172" s="218" t="s">
        <v>482</v>
      </c>
    </row>
    <row r="173" spans="2:9" ht="18" customHeight="1" x14ac:dyDescent="0.2">
      <c r="B173" s="1373" t="s">
        <v>979</v>
      </c>
      <c r="C173" s="202"/>
      <c r="D173" s="217" t="s">
        <v>1321</v>
      </c>
      <c r="E173" s="160" t="s">
        <v>1321</v>
      </c>
      <c r="F173" s="246" t="s">
        <v>482</v>
      </c>
      <c r="G173" s="247" t="s">
        <v>482</v>
      </c>
      <c r="H173" s="247" t="s">
        <v>482</v>
      </c>
      <c r="I173" s="248" t="s">
        <v>482</v>
      </c>
    </row>
    <row r="174" spans="2:9" ht="18" customHeight="1" x14ac:dyDescent="0.2">
      <c r="B174" s="1373" t="s">
        <v>978</v>
      </c>
      <c r="C174" s="202"/>
      <c r="D174" s="217" t="s">
        <v>1321</v>
      </c>
      <c r="E174" s="160" t="s">
        <v>1321</v>
      </c>
      <c r="F174" s="246" t="s">
        <v>482</v>
      </c>
      <c r="G174" s="247" t="s">
        <v>482</v>
      </c>
      <c r="H174" s="247" t="s">
        <v>482</v>
      </c>
      <c r="I174" s="248" t="s">
        <v>482</v>
      </c>
    </row>
    <row r="175" spans="2:9" ht="18" customHeight="1" x14ac:dyDescent="0.25">
      <c r="B175" s="518" t="s">
        <v>1354</v>
      </c>
      <c r="C175" s="250"/>
      <c r="D175" s="217" t="s">
        <v>1321</v>
      </c>
      <c r="E175" s="160" t="s">
        <v>1321</v>
      </c>
      <c r="F175" s="246" t="s">
        <v>482</v>
      </c>
      <c r="G175" s="247" t="s">
        <v>482</v>
      </c>
      <c r="H175" s="247" t="s">
        <v>482</v>
      </c>
      <c r="I175" s="248" t="s">
        <v>482</v>
      </c>
    </row>
    <row r="176" spans="2:9" ht="18" customHeight="1" x14ac:dyDescent="0.25">
      <c r="B176" s="497" t="s">
        <v>1349</v>
      </c>
      <c r="C176" s="250"/>
      <c r="D176" s="217" t="s">
        <v>1321</v>
      </c>
      <c r="E176" s="160" t="s">
        <v>1321</v>
      </c>
      <c r="F176" s="246" t="s">
        <v>482</v>
      </c>
      <c r="G176" s="247" t="s">
        <v>482</v>
      </c>
      <c r="H176" s="247" t="s">
        <v>482</v>
      </c>
      <c r="I176" s="248" t="s">
        <v>482</v>
      </c>
    </row>
    <row r="177" spans="2:9" ht="18" customHeight="1" x14ac:dyDescent="0.2">
      <c r="B177" s="497" t="s">
        <v>1353</v>
      </c>
      <c r="C177" s="202"/>
      <c r="D177" s="217" t="s">
        <v>1321</v>
      </c>
      <c r="E177" s="160" t="s">
        <v>1321</v>
      </c>
      <c r="F177" s="246" t="s">
        <v>482</v>
      </c>
      <c r="G177" s="247" t="s">
        <v>482</v>
      </c>
      <c r="H177" s="247" t="s">
        <v>482</v>
      </c>
      <c r="I177" s="248" t="s">
        <v>482</v>
      </c>
    </row>
    <row r="178" spans="2:9" ht="18" customHeight="1" x14ac:dyDescent="0.2">
      <c r="B178" s="518" t="s">
        <v>970</v>
      </c>
      <c r="C178" s="202"/>
      <c r="D178" s="217" t="s">
        <v>1321</v>
      </c>
      <c r="E178" s="160" t="s">
        <v>1321</v>
      </c>
      <c r="F178" s="246" t="s">
        <v>482</v>
      </c>
      <c r="G178" s="247" t="s">
        <v>482</v>
      </c>
      <c r="H178" s="247" t="s">
        <v>482</v>
      </c>
      <c r="I178" s="248" t="s">
        <v>482</v>
      </c>
    </row>
    <row r="179" spans="2:9" ht="18" customHeight="1" x14ac:dyDescent="0.2">
      <c r="B179" s="502" t="s">
        <v>1389</v>
      </c>
      <c r="C179" s="215"/>
      <c r="D179" s="217" t="s">
        <v>1321</v>
      </c>
      <c r="E179" s="160" t="s">
        <v>1321</v>
      </c>
      <c r="F179" s="246" t="s">
        <v>482</v>
      </c>
      <c r="G179" s="247" t="s">
        <v>482</v>
      </c>
      <c r="H179" s="247" t="s">
        <v>482</v>
      </c>
      <c r="I179" s="248" t="s">
        <v>482</v>
      </c>
    </row>
    <row r="180" spans="2:9" ht="18" customHeight="1" x14ac:dyDescent="0.25">
      <c r="B180" s="518" t="s">
        <v>954</v>
      </c>
      <c r="C180" s="186"/>
      <c r="D180" s="217" t="s">
        <v>1321</v>
      </c>
      <c r="E180" s="160" t="s">
        <v>1321</v>
      </c>
      <c r="F180" s="246" t="s">
        <v>482</v>
      </c>
      <c r="G180" s="247" t="s">
        <v>482</v>
      </c>
      <c r="H180" s="247" t="s">
        <v>482</v>
      </c>
      <c r="I180" s="248" t="s">
        <v>482</v>
      </c>
    </row>
    <row r="181" spans="2:9" ht="18" customHeight="1" x14ac:dyDescent="0.2">
      <c r="B181" s="496" t="s">
        <v>971</v>
      </c>
      <c r="C181" s="178"/>
      <c r="D181" s="217" t="s">
        <v>1321</v>
      </c>
      <c r="E181" s="160" t="s">
        <v>1321</v>
      </c>
      <c r="F181" s="249" t="s">
        <v>482</v>
      </c>
      <c r="G181" s="218" t="s">
        <v>482</v>
      </c>
      <c r="H181" s="218" t="s">
        <v>482</v>
      </c>
      <c r="I181" s="218" t="s">
        <v>482</v>
      </c>
    </row>
    <row r="182" spans="2:9" ht="18" customHeight="1" x14ac:dyDescent="0.2">
      <c r="B182" s="518" t="s">
        <v>975</v>
      </c>
      <c r="C182" s="202"/>
      <c r="D182" s="217" t="s">
        <v>1321</v>
      </c>
      <c r="E182" s="160" t="s">
        <v>1321</v>
      </c>
      <c r="F182" s="246" t="s">
        <v>482</v>
      </c>
      <c r="G182" s="247" t="s">
        <v>482</v>
      </c>
      <c r="H182" s="247" t="s">
        <v>482</v>
      </c>
      <c r="I182" s="248" t="s">
        <v>482</v>
      </c>
    </row>
    <row r="183" spans="2:9" ht="18" customHeight="1" x14ac:dyDescent="0.2">
      <c r="B183" s="509" t="s">
        <v>928</v>
      </c>
      <c r="C183" s="251"/>
      <c r="D183" s="217" t="s">
        <v>1321</v>
      </c>
      <c r="E183" s="160" t="s">
        <v>1321</v>
      </c>
      <c r="F183" s="252" t="s">
        <v>482</v>
      </c>
      <c r="G183" s="248" t="s">
        <v>482</v>
      </c>
      <c r="H183" s="247" t="s">
        <v>482</v>
      </c>
      <c r="I183" s="248" t="s">
        <v>482</v>
      </c>
    </row>
    <row r="184" spans="2:9" ht="18" customHeight="1" x14ac:dyDescent="0.2">
      <c r="B184" s="497" t="s">
        <v>952</v>
      </c>
      <c r="C184" s="202"/>
      <c r="D184" s="217" t="s">
        <v>1321</v>
      </c>
      <c r="E184" s="160" t="s">
        <v>1321</v>
      </c>
      <c r="F184" s="252" t="s">
        <v>482</v>
      </c>
      <c r="G184" s="247" t="s">
        <v>482</v>
      </c>
      <c r="H184" s="247" t="s">
        <v>482</v>
      </c>
      <c r="I184" s="248" t="s">
        <v>482</v>
      </c>
    </row>
    <row r="185" spans="2:9" ht="18" customHeight="1" x14ac:dyDescent="0.25">
      <c r="B185" s="502" t="s">
        <v>974</v>
      </c>
      <c r="C185" s="216"/>
      <c r="D185" s="217" t="s">
        <v>1321</v>
      </c>
      <c r="E185" s="160" t="s">
        <v>1321</v>
      </c>
      <c r="F185" s="246" t="s">
        <v>482</v>
      </c>
      <c r="G185" s="247" t="s">
        <v>482</v>
      </c>
      <c r="H185" s="247" t="s">
        <v>482</v>
      </c>
      <c r="I185" s="248" t="s">
        <v>482</v>
      </c>
    </row>
    <row r="186" spans="2:9" ht="18" customHeight="1" x14ac:dyDescent="0.2">
      <c r="B186" s="518" t="s">
        <v>965</v>
      </c>
      <c r="C186" s="202"/>
      <c r="D186" s="217" t="s">
        <v>1321</v>
      </c>
      <c r="E186" s="160" t="s">
        <v>1321</v>
      </c>
      <c r="F186" s="246" t="s">
        <v>482</v>
      </c>
      <c r="G186" s="247" t="s">
        <v>482</v>
      </c>
      <c r="H186" s="248" t="s">
        <v>482</v>
      </c>
      <c r="I186" s="248" t="s">
        <v>482</v>
      </c>
    </row>
    <row r="187" spans="2:9" ht="18" customHeight="1" x14ac:dyDescent="0.2">
      <c r="B187" s="1370" t="s">
        <v>1391</v>
      </c>
      <c r="C187" s="201" t="s">
        <v>40</v>
      </c>
      <c r="D187" s="217" t="s">
        <v>1321</v>
      </c>
      <c r="E187" s="160" t="s">
        <v>1321</v>
      </c>
      <c r="F187" s="246" t="s">
        <v>482</v>
      </c>
      <c r="G187" s="247" t="s">
        <v>482</v>
      </c>
      <c r="H187" s="247" t="s">
        <v>482</v>
      </c>
      <c r="I187" s="248" t="s">
        <v>482</v>
      </c>
    </row>
    <row r="188" spans="2:9" ht="18" customHeight="1" x14ac:dyDescent="0.2">
      <c r="B188" s="497" t="s">
        <v>948</v>
      </c>
      <c r="C188" s="202"/>
      <c r="D188" s="217" t="s">
        <v>1321</v>
      </c>
      <c r="E188" s="160" t="s">
        <v>1321</v>
      </c>
      <c r="F188" s="246" t="s">
        <v>482</v>
      </c>
      <c r="G188" s="247" t="s">
        <v>482</v>
      </c>
      <c r="H188" s="247" t="s">
        <v>482</v>
      </c>
      <c r="I188" s="248" t="s">
        <v>482</v>
      </c>
    </row>
    <row r="189" spans="2:9" ht="18" customHeight="1" x14ac:dyDescent="0.2">
      <c r="B189" s="497" t="s">
        <v>1386</v>
      </c>
      <c r="C189" s="202"/>
      <c r="D189" s="217" t="s">
        <v>1321</v>
      </c>
      <c r="E189" s="160" t="s">
        <v>1321</v>
      </c>
      <c r="F189" s="246" t="s">
        <v>482</v>
      </c>
      <c r="G189" s="247" t="s">
        <v>482</v>
      </c>
      <c r="H189" s="247" t="s">
        <v>482</v>
      </c>
      <c r="I189" s="248" t="s">
        <v>482</v>
      </c>
    </row>
    <row r="190" spans="2:9" ht="18" customHeight="1" x14ac:dyDescent="0.25">
      <c r="B190" s="497" t="s">
        <v>926</v>
      </c>
      <c r="C190" s="216"/>
      <c r="D190" s="217" t="s">
        <v>1321</v>
      </c>
      <c r="E190" s="160" t="s">
        <v>1321</v>
      </c>
      <c r="F190" s="249" t="s">
        <v>482</v>
      </c>
      <c r="G190" s="218" t="s">
        <v>482</v>
      </c>
      <c r="H190" s="218" t="s">
        <v>482</v>
      </c>
      <c r="I190" s="218" t="s">
        <v>482</v>
      </c>
    </row>
    <row r="191" spans="2:9" ht="18" customHeight="1" x14ac:dyDescent="0.2">
      <c r="B191" s="559" t="s">
        <v>964</v>
      </c>
      <c r="C191" s="178"/>
      <c r="D191" s="217" t="s">
        <v>1321</v>
      </c>
      <c r="E191" s="160" t="s">
        <v>1321</v>
      </c>
      <c r="F191" s="249" t="s">
        <v>482</v>
      </c>
      <c r="G191" s="218" t="s">
        <v>482</v>
      </c>
      <c r="H191" s="218" t="s">
        <v>482</v>
      </c>
      <c r="I191" s="218" t="s">
        <v>482</v>
      </c>
    </row>
    <row r="192" spans="2:9" ht="18" customHeight="1" x14ac:dyDescent="0.2">
      <c r="B192" s="1373" t="s">
        <v>980</v>
      </c>
      <c r="C192" s="202"/>
      <c r="D192" s="217" t="s">
        <v>1321</v>
      </c>
      <c r="E192" s="160" t="s">
        <v>1321</v>
      </c>
      <c r="F192" s="246" t="s">
        <v>482</v>
      </c>
      <c r="G192" s="247" t="s">
        <v>482</v>
      </c>
      <c r="H192" s="247" t="s">
        <v>482</v>
      </c>
      <c r="I192" s="248" t="s">
        <v>482</v>
      </c>
    </row>
    <row r="193" spans="2:9" ht="18" customHeight="1" x14ac:dyDescent="0.2">
      <c r="B193" s="497" t="s">
        <v>977</v>
      </c>
      <c r="C193" s="190" t="s">
        <v>40</v>
      </c>
      <c r="D193" s="217" t="s">
        <v>1321</v>
      </c>
      <c r="E193" s="160" t="s">
        <v>1321</v>
      </c>
      <c r="F193" s="246" t="s">
        <v>482</v>
      </c>
      <c r="G193" s="247" t="s">
        <v>482</v>
      </c>
      <c r="H193" s="247" t="s">
        <v>482</v>
      </c>
      <c r="I193" s="248" t="s">
        <v>482</v>
      </c>
    </row>
    <row r="194" spans="2:9" ht="18" customHeight="1" x14ac:dyDescent="0.2">
      <c r="B194" s="497" t="s">
        <v>1008</v>
      </c>
      <c r="C194" s="178"/>
      <c r="D194" s="217" t="s">
        <v>1321</v>
      </c>
      <c r="E194" s="160" t="s">
        <v>1321</v>
      </c>
      <c r="F194" s="246" t="s">
        <v>482</v>
      </c>
      <c r="G194" s="247" t="s">
        <v>482</v>
      </c>
      <c r="H194" s="247" t="s">
        <v>482</v>
      </c>
      <c r="I194" s="248" t="s">
        <v>482</v>
      </c>
    </row>
    <row r="195" spans="2:9" ht="18" customHeight="1" x14ac:dyDescent="0.2">
      <c r="B195" s="1373" t="s">
        <v>960</v>
      </c>
      <c r="C195" s="203"/>
      <c r="D195" s="217" t="s">
        <v>1321</v>
      </c>
      <c r="E195" s="160" t="s">
        <v>1321</v>
      </c>
      <c r="F195" s="246" t="s">
        <v>482</v>
      </c>
      <c r="G195" s="247" t="s">
        <v>482</v>
      </c>
      <c r="H195" s="247" t="s">
        <v>482</v>
      </c>
      <c r="I195" s="248" t="s">
        <v>482</v>
      </c>
    </row>
    <row r="196" spans="2:9" ht="18" customHeight="1" x14ac:dyDescent="0.2">
      <c r="B196" s="1371" t="s">
        <v>973</v>
      </c>
      <c r="C196" s="253"/>
      <c r="D196" s="217" t="s">
        <v>1321</v>
      </c>
      <c r="E196" s="160" t="s">
        <v>1321</v>
      </c>
      <c r="F196" s="249" t="s">
        <v>482</v>
      </c>
      <c r="G196" s="218" t="s">
        <v>482</v>
      </c>
      <c r="H196" s="218" t="s">
        <v>482</v>
      </c>
      <c r="I196" s="218" t="s">
        <v>482</v>
      </c>
    </row>
    <row r="197" spans="2:9" ht="18" customHeight="1" x14ac:dyDescent="0.2">
      <c r="B197" s="1371" t="s">
        <v>961</v>
      </c>
      <c r="C197" s="253"/>
      <c r="D197" s="217" t="s">
        <v>1321</v>
      </c>
      <c r="E197" s="160" t="s">
        <v>1321</v>
      </c>
      <c r="F197" s="249" t="s">
        <v>482</v>
      </c>
      <c r="G197" s="218" t="s">
        <v>482</v>
      </c>
      <c r="H197" s="218" t="s">
        <v>482</v>
      </c>
      <c r="I197" s="218" t="s">
        <v>482</v>
      </c>
    </row>
    <row r="198" spans="2:9" ht="18" customHeight="1" x14ac:dyDescent="0.2">
      <c r="B198" s="497" t="s">
        <v>1384</v>
      </c>
      <c r="C198" s="1385" t="s">
        <v>40</v>
      </c>
      <c r="D198" s="223" t="s">
        <v>1321</v>
      </c>
      <c r="E198" s="224" t="s">
        <v>1321</v>
      </c>
      <c r="F198" s="249" t="s">
        <v>482</v>
      </c>
      <c r="G198" s="218" t="s">
        <v>482</v>
      </c>
      <c r="H198" s="218" t="s">
        <v>482</v>
      </c>
      <c r="I198" s="218" t="s">
        <v>482</v>
      </c>
    </row>
    <row r="199" spans="2:9" ht="15.75" x14ac:dyDescent="0.2">
      <c r="B199" s="140"/>
    </row>
    <row r="200" spans="2:9" ht="15.75" x14ac:dyDescent="0.2">
      <c r="B200" s="140" t="s">
        <v>2744</v>
      </c>
    </row>
    <row r="201" spans="2:9" ht="15.75" x14ac:dyDescent="0.2">
      <c r="B201" s="140" t="s">
        <v>2745</v>
      </c>
    </row>
    <row r="202" spans="2:9" ht="15.75" x14ac:dyDescent="0.2">
      <c r="B202" s="142" t="s">
        <v>2751</v>
      </c>
    </row>
  </sheetData>
  <sortState ref="B114:I151">
    <sortCondition ref="D114:D151"/>
  </sortState>
  <mergeCells count="7">
    <mergeCell ref="B8:B9"/>
    <mergeCell ref="B109:B110"/>
    <mergeCell ref="C1:L3"/>
    <mergeCell ref="E7:E10"/>
    <mergeCell ref="D7:D10"/>
    <mergeCell ref="D108:D111"/>
    <mergeCell ref="E108:E111"/>
  </mergeCells>
  <conditionalFormatting sqref="D198">
    <cfRule type="dataBar" priority="385">
      <dataBar>
        <cfvo type="min"/>
        <cfvo type="max"/>
        <color rgb="FFFF555A"/>
      </dataBar>
      <extLst>
        <ext xmlns:x14="http://schemas.microsoft.com/office/spreadsheetml/2009/9/main" uri="{B025F937-C7B1-47D3-B67F-A62EFF666E3E}">
          <x14:id>{E5F9C900-5916-4091-B9AB-28F1CDDA6A0D}</x14:id>
        </ext>
      </extLst>
    </cfRule>
  </conditionalFormatting>
  <conditionalFormatting sqref="D167:D174 E114:E166">
    <cfRule type="dataBar" priority="70">
      <dataBar>
        <cfvo type="min"/>
        <cfvo type="max"/>
        <color rgb="FFFF555A"/>
      </dataBar>
      <extLst>
        <ext xmlns:x14="http://schemas.microsoft.com/office/spreadsheetml/2009/9/main" uri="{B025F937-C7B1-47D3-B67F-A62EFF666E3E}">
          <x14:id>{8D8B1997-973B-4A91-A2A0-D5EAA84DCC8F}</x14:id>
        </ext>
      </extLst>
    </cfRule>
  </conditionalFormatting>
  <conditionalFormatting sqref="E113">
    <cfRule type="dataBar" priority="60">
      <dataBar>
        <cfvo type="min"/>
        <cfvo type="max"/>
        <color rgb="FFFF555A"/>
      </dataBar>
      <extLst>
        <ext xmlns:x14="http://schemas.microsoft.com/office/spreadsheetml/2009/9/main" uri="{B025F937-C7B1-47D3-B67F-A62EFF666E3E}">
          <x14:id>{F7B57AC2-5FAB-467D-9335-B0D569F0D8AB}</x14:id>
        </ext>
      </extLst>
    </cfRule>
  </conditionalFormatting>
  <conditionalFormatting sqref="D175">
    <cfRule type="dataBar" priority="59">
      <dataBar>
        <cfvo type="min"/>
        <cfvo type="max"/>
        <color rgb="FFFF555A"/>
      </dataBar>
      <extLst>
        <ext xmlns:x14="http://schemas.microsoft.com/office/spreadsheetml/2009/9/main" uri="{B025F937-C7B1-47D3-B67F-A62EFF666E3E}">
          <x14:id>{AA846ADB-C681-4C0D-98C7-106DA39A024A}</x14:id>
        </ext>
      </extLst>
    </cfRule>
  </conditionalFormatting>
  <conditionalFormatting sqref="D176">
    <cfRule type="dataBar" priority="58">
      <dataBar>
        <cfvo type="min"/>
        <cfvo type="max"/>
        <color rgb="FFFF555A"/>
      </dataBar>
      <extLst>
        <ext xmlns:x14="http://schemas.microsoft.com/office/spreadsheetml/2009/9/main" uri="{B025F937-C7B1-47D3-B67F-A62EFF666E3E}">
          <x14:id>{444A3FB3-DCA4-41B1-ADCF-EA37DD9A04E2}</x14:id>
        </ext>
      </extLst>
    </cfRule>
  </conditionalFormatting>
  <conditionalFormatting sqref="D177">
    <cfRule type="dataBar" priority="57">
      <dataBar>
        <cfvo type="min"/>
        <cfvo type="max"/>
        <color rgb="FFFF555A"/>
      </dataBar>
      <extLst>
        <ext xmlns:x14="http://schemas.microsoft.com/office/spreadsheetml/2009/9/main" uri="{B025F937-C7B1-47D3-B67F-A62EFF666E3E}">
          <x14:id>{1C1C5FF3-E916-41F8-989B-44F3176B7D31}</x14:id>
        </ext>
      </extLst>
    </cfRule>
  </conditionalFormatting>
  <conditionalFormatting sqref="D178">
    <cfRule type="dataBar" priority="56">
      <dataBar>
        <cfvo type="min"/>
        <cfvo type="max"/>
        <color rgb="FFFF555A"/>
      </dataBar>
      <extLst>
        <ext xmlns:x14="http://schemas.microsoft.com/office/spreadsheetml/2009/9/main" uri="{B025F937-C7B1-47D3-B67F-A62EFF666E3E}">
          <x14:id>{E9449800-D8CB-40F0-B35E-D1EE6EAEA12D}</x14:id>
        </ext>
      </extLst>
    </cfRule>
  </conditionalFormatting>
  <conditionalFormatting sqref="D197">
    <cfRule type="dataBar" priority="55">
      <dataBar>
        <cfvo type="min"/>
        <cfvo type="max"/>
        <color rgb="FFFF555A"/>
      </dataBar>
      <extLst>
        <ext xmlns:x14="http://schemas.microsoft.com/office/spreadsheetml/2009/9/main" uri="{B025F937-C7B1-47D3-B67F-A62EFF666E3E}">
          <x14:id>{CBD6A6B0-19DF-4B87-8300-E16AC9827D65}</x14:id>
        </ext>
      </extLst>
    </cfRule>
  </conditionalFormatting>
  <conditionalFormatting sqref="D196">
    <cfRule type="dataBar" priority="54">
      <dataBar>
        <cfvo type="min"/>
        <cfvo type="max"/>
        <color rgb="FFFF555A"/>
      </dataBar>
      <extLst>
        <ext xmlns:x14="http://schemas.microsoft.com/office/spreadsheetml/2009/9/main" uri="{B025F937-C7B1-47D3-B67F-A62EFF666E3E}">
          <x14:id>{7AA83131-C6A1-43F6-ADB0-CC6E53D25081}</x14:id>
        </ext>
      </extLst>
    </cfRule>
  </conditionalFormatting>
  <conditionalFormatting sqref="D195">
    <cfRule type="dataBar" priority="53">
      <dataBar>
        <cfvo type="min"/>
        <cfvo type="max"/>
        <color rgb="FFFF555A"/>
      </dataBar>
      <extLst>
        <ext xmlns:x14="http://schemas.microsoft.com/office/spreadsheetml/2009/9/main" uri="{B025F937-C7B1-47D3-B67F-A62EFF666E3E}">
          <x14:id>{BC59B6EC-9A61-41EA-986F-A8E824D1B90E}</x14:id>
        </ext>
      </extLst>
    </cfRule>
  </conditionalFormatting>
  <conditionalFormatting sqref="D194">
    <cfRule type="dataBar" priority="52">
      <dataBar>
        <cfvo type="min"/>
        <cfvo type="max"/>
        <color rgb="FFFF555A"/>
      </dataBar>
      <extLst>
        <ext xmlns:x14="http://schemas.microsoft.com/office/spreadsheetml/2009/9/main" uri="{B025F937-C7B1-47D3-B67F-A62EFF666E3E}">
          <x14:id>{5454F7FF-21C3-4C43-9AB6-5F55F079F44B}</x14:id>
        </ext>
      </extLst>
    </cfRule>
  </conditionalFormatting>
  <conditionalFormatting sqref="D193">
    <cfRule type="dataBar" priority="51">
      <dataBar>
        <cfvo type="min"/>
        <cfvo type="max"/>
        <color rgb="FFFF555A"/>
      </dataBar>
      <extLst>
        <ext xmlns:x14="http://schemas.microsoft.com/office/spreadsheetml/2009/9/main" uri="{B025F937-C7B1-47D3-B67F-A62EFF666E3E}">
          <x14:id>{B6FB1CA5-7A34-4CAB-8DCB-1CEFB3E77705}</x14:id>
        </ext>
      </extLst>
    </cfRule>
  </conditionalFormatting>
  <conditionalFormatting sqref="D192">
    <cfRule type="dataBar" priority="50">
      <dataBar>
        <cfvo type="min"/>
        <cfvo type="max"/>
        <color rgb="FFFF555A"/>
      </dataBar>
      <extLst>
        <ext xmlns:x14="http://schemas.microsoft.com/office/spreadsheetml/2009/9/main" uri="{B025F937-C7B1-47D3-B67F-A62EFF666E3E}">
          <x14:id>{06E6164E-ED1A-4DB8-B7F5-BC2260405574}</x14:id>
        </ext>
      </extLst>
    </cfRule>
  </conditionalFormatting>
  <conditionalFormatting sqref="D191">
    <cfRule type="dataBar" priority="49">
      <dataBar>
        <cfvo type="min"/>
        <cfvo type="max"/>
        <color rgb="FFFF555A"/>
      </dataBar>
      <extLst>
        <ext xmlns:x14="http://schemas.microsoft.com/office/spreadsheetml/2009/9/main" uri="{B025F937-C7B1-47D3-B67F-A62EFF666E3E}">
          <x14:id>{5C444B3F-A391-4180-9427-5CAAAF8FAD9C}</x14:id>
        </ext>
      </extLst>
    </cfRule>
  </conditionalFormatting>
  <conditionalFormatting sqref="D190">
    <cfRule type="dataBar" priority="48">
      <dataBar>
        <cfvo type="min"/>
        <cfvo type="max"/>
        <color rgb="FFFF555A"/>
      </dataBar>
      <extLst>
        <ext xmlns:x14="http://schemas.microsoft.com/office/spreadsheetml/2009/9/main" uri="{B025F937-C7B1-47D3-B67F-A62EFF666E3E}">
          <x14:id>{207FC607-0A0E-4EAF-9814-085D805448FD}</x14:id>
        </ext>
      </extLst>
    </cfRule>
  </conditionalFormatting>
  <conditionalFormatting sqref="D189">
    <cfRule type="dataBar" priority="47">
      <dataBar>
        <cfvo type="min"/>
        <cfvo type="max"/>
        <color rgb="FFFF555A"/>
      </dataBar>
      <extLst>
        <ext xmlns:x14="http://schemas.microsoft.com/office/spreadsheetml/2009/9/main" uri="{B025F937-C7B1-47D3-B67F-A62EFF666E3E}">
          <x14:id>{162BD88B-41B8-4514-8A50-7CEE04D6CCEC}</x14:id>
        </ext>
      </extLst>
    </cfRule>
  </conditionalFormatting>
  <conditionalFormatting sqref="D188">
    <cfRule type="dataBar" priority="46">
      <dataBar>
        <cfvo type="min"/>
        <cfvo type="max"/>
        <color rgb="FFFF555A"/>
      </dataBar>
      <extLst>
        <ext xmlns:x14="http://schemas.microsoft.com/office/spreadsheetml/2009/9/main" uri="{B025F937-C7B1-47D3-B67F-A62EFF666E3E}">
          <x14:id>{D40DB43B-7184-4D0F-B29E-6D54F8FEF6B2}</x14:id>
        </ext>
      </extLst>
    </cfRule>
  </conditionalFormatting>
  <conditionalFormatting sqref="D187">
    <cfRule type="dataBar" priority="45">
      <dataBar>
        <cfvo type="min"/>
        <cfvo type="max"/>
        <color rgb="FFFF555A"/>
      </dataBar>
      <extLst>
        <ext xmlns:x14="http://schemas.microsoft.com/office/spreadsheetml/2009/9/main" uri="{B025F937-C7B1-47D3-B67F-A62EFF666E3E}">
          <x14:id>{E6C3884B-B40D-40E2-973D-B2FDD5F540C5}</x14:id>
        </ext>
      </extLst>
    </cfRule>
  </conditionalFormatting>
  <conditionalFormatting sqref="D186">
    <cfRule type="dataBar" priority="44">
      <dataBar>
        <cfvo type="min"/>
        <cfvo type="max"/>
        <color rgb="FFFF555A"/>
      </dataBar>
      <extLst>
        <ext xmlns:x14="http://schemas.microsoft.com/office/spreadsheetml/2009/9/main" uri="{B025F937-C7B1-47D3-B67F-A62EFF666E3E}">
          <x14:id>{808659A6-8E45-4F0D-A2C3-651F63A1F56D}</x14:id>
        </ext>
      </extLst>
    </cfRule>
  </conditionalFormatting>
  <conditionalFormatting sqref="D185">
    <cfRule type="dataBar" priority="43">
      <dataBar>
        <cfvo type="min"/>
        <cfvo type="max"/>
        <color rgb="FFFF555A"/>
      </dataBar>
      <extLst>
        <ext xmlns:x14="http://schemas.microsoft.com/office/spreadsheetml/2009/9/main" uri="{B025F937-C7B1-47D3-B67F-A62EFF666E3E}">
          <x14:id>{2E155009-5ECA-4D57-A491-2A8602CF92D0}</x14:id>
        </ext>
      </extLst>
    </cfRule>
  </conditionalFormatting>
  <conditionalFormatting sqref="D184">
    <cfRule type="dataBar" priority="42">
      <dataBar>
        <cfvo type="min"/>
        <cfvo type="max"/>
        <color rgb="FFFF555A"/>
      </dataBar>
      <extLst>
        <ext xmlns:x14="http://schemas.microsoft.com/office/spreadsheetml/2009/9/main" uri="{B025F937-C7B1-47D3-B67F-A62EFF666E3E}">
          <x14:id>{91E5F895-1C3D-453C-82B6-FCE633782BA3}</x14:id>
        </ext>
      </extLst>
    </cfRule>
  </conditionalFormatting>
  <conditionalFormatting sqref="D183">
    <cfRule type="dataBar" priority="41">
      <dataBar>
        <cfvo type="min"/>
        <cfvo type="max"/>
        <color rgb="FFFF555A"/>
      </dataBar>
      <extLst>
        <ext xmlns:x14="http://schemas.microsoft.com/office/spreadsheetml/2009/9/main" uri="{B025F937-C7B1-47D3-B67F-A62EFF666E3E}">
          <x14:id>{97FB07E3-7D76-4DE3-90E7-0D3AEF4382B0}</x14:id>
        </ext>
      </extLst>
    </cfRule>
  </conditionalFormatting>
  <conditionalFormatting sqref="D182">
    <cfRule type="dataBar" priority="40">
      <dataBar>
        <cfvo type="min"/>
        <cfvo type="max"/>
        <color rgb="FFFF555A"/>
      </dataBar>
      <extLst>
        <ext xmlns:x14="http://schemas.microsoft.com/office/spreadsheetml/2009/9/main" uri="{B025F937-C7B1-47D3-B67F-A62EFF666E3E}">
          <x14:id>{2ED31307-322F-4D23-86BC-7311202E9E00}</x14:id>
        </ext>
      </extLst>
    </cfRule>
  </conditionalFormatting>
  <conditionalFormatting sqref="D181">
    <cfRule type="dataBar" priority="39">
      <dataBar>
        <cfvo type="min"/>
        <cfvo type="max"/>
        <color rgb="FFFF555A"/>
      </dataBar>
      <extLst>
        <ext xmlns:x14="http://schemas.microsoft.com/office/spreadsheetml/2009/9/main" uri="{B025F937-C7B1-47D3-B67F-A62EFF666E3E}">
          <x14:id>{A013F6FD-0B0C-43D3-806C-0BF38E49AE4B}</x14:id>
        </ext>
      </extLst>
    </cfRule>
  </conditionalFormatting>
  <conditionalFormatting sqref="D180">
    <cfRule type="dataBar" priority="38">
      <dataBar>
        <cfvo type="min"/>
        <cfvo type="max"/>
        <color rgb="FFFF555A"/>
      </dataBar>
      <extLst>
        <ext xmlns:x14="http://schemas.microsoft.com/office/spreadsheetml/2009/9/main" uri="{B025F937-C7B1-47D3-B67F-A62EFF666E3E}">
          <x14:id>{FCE69D60-FE26-4921-8CF5-656B85A91C7D}</x14:id>
        </ext>
      </extLst>
    </cfRule>
  </conditionalFormatting>
  <conditionalFormatting sqref="D179">
    <cfRule type="dataBar" priority="37">
      <dataBar>
        <cfvo type="min"/>
        <cfvo type="max"/>
        <color rgb="FFFF555A"/>
      </dataBar>
      <extLst>
        <ext xmlns:x14="http://schemas.microsoft.com/office/spreadsheetml/2009/9/main" uri="{B025F937-C7B1-47D3-B67F-A62EFF666E3E}">
          <x14:id>{63877378-5632-4990-9DB7-304357855CA5}</x14:id>
        </ext>
      </extLst>
    </cfRule>
  </conditionalFormatting>
  <conditionalFormatting sqref="E198">
    <cfRule type="dataBar" priority="36">
      <dataBar>
        <cfvo type="min"/>
        <cfvo type="max"/>
        <color rgb="FFFF555A"/>
      </dataBar>
      <extLst>
        <ext xmlns:x14="http://schemas.microsoft.com/office/spreadsheetml/2009/9/main" uri="{B025F937-C7B1-47D3-B67F-A62EFF666E3E}">
          <x14:id>{05753ADB-32CE-4BD1-8F6A-5A82016D2142}</x14:id>
        </ext>
      </extLst>
    </cfRule>
  </conditionalFormatting>
  <conditionalFormatting sqref="E167:E174">
    <cfRule type="dataBar" priority="35">
      <dataBar>
        <cfvo type="min"/>
        <cfvo type="max"/>
        <color rgb="FFFF555A"/>
      </dataBar>
      <extLst>
        <ext xmlns:x14="http://schemas.microsoft.com/office/spreadsheetml/2009/9/main" uri="{B025F937-C7B1-47D3-B67F-A62EFF666E3E}">
          <x14:id>{AB7ED735-28FD-4C66-9100-61FAFEBA1C3B}</x14:id>
        </ext>
      </extLst>
    </cfRule>
  </conditionalFormatting>
  <conditionalFormatting sqref="E175">
    <cfRule type="dataBar" priority="34">
      <dataBar>
        <cfvo type="min"/>
        <cfvo type="max"/>
        <color rgb="FFFF555A"/>
      </dataBar>
      <extLst>
        <ext xmlns:x14="http://schemas.microsoft.com/office/spreadsheetml/2009/9/main" uri="{B025F937-C7B1-47D3-B67F-A62EFF666E3E}">
          <x14:id>{E7D84F9F-3DA0-4487-9174-0959B25C6838}</x14:id>
        </ext>
      </extLst>
    </cfRule>
  </conditionalFormatting>
  <conditionalFormatting sqref="E176">
    <cfRule type="dataBar" priority="33">
      <dataBar>
        <cfvo type="min"/>
        <cfvo type="max"/>
        <color rgb="FFFF555A"/>
      </dataBar>
      <extLst>
        <ext xmlns:x14="http://schemas.microsoft.com/office/spreadsheetml/2009/9/main" uri="{B025F937-C7B1-47D3-B67F-A62EFF666E3E}">
          <x14:id>{FBDD391E-5B8F-468E-BED5-5F2D6904D05F}</x14:id>
        </ext>
      </extLst>
    </cfRule>
  </conditionalFormatting>
  <conditionalFormatting sqref="E177">
    <cfRule type="dataBar" priority="32">
      <dataBar>
        <cfvo type="min"/>
        <cfvo type="max"/>
        <color rgb="FFFF555A"/>
      </dataBar>
      <extLst>
        <ext xmlns:x14="http://schemas.microsoft.com/office/spreadsheetml/2009/9/main" uri="{B025F937-C7B1-47D3-B67F-A62EFF666E3E}">
          <x14:id>{76933375-3D30-4B84-BAC1-50E9F6A84C2D}</x14:id>
        </ext>
      </extLst>
    </cfRule>
  </conditionalFormatting>
  <conditionalFormatting sqref="E178">
    <cfRule type="dataBar" priority="31">
      <dataBar>
        <cfvo type="min"/>
        <cfvo type="max"/>
        <color rgb="FFFF555A"/>
      </dataBar>
      <extLst>
        <ext xmlns:x14="http://schemas.microsoft.com/office/spreadsheetml/2009/9/main" uri="{B025F937-C7B1-47D3-B67F-A62EFF666E3E}">
          <x14:id>{664212FA-AB1D-414A-B383-CD2444871842}</x14:id>
        </ext>
      </extLst>
    </cfRule>
  </conditionalFormatting>
  <conditionalFormatting sqref="E197">
    <cfRule type="dataBar" priority="30">
      <dataBar>
        <cfvo type="min"/>
        <cfvo type="max"/>
        <color rgb="FFFF555A"/>
      </dataBar>
      <extLst>
        <ext xmlns:x14="http://schemas.microsoft.com/office/spreadsheetml/2009/9/main" uri="{B025F937-C7B1-47D3-B67F-A62EFF666E3E}">
          <x14:id>{67131AE0-477A-4556-812F-1E03C53EB84B}</x14:id>
        </ext>
      </extLst>
    </cfRule>
  </conditionalFormatting>
  <conditionalFormatting sqref="E196">
    <cfRule type="dataBar" priority="29">
      <dataBar>
        <cfvo type="min"/>
        <cfvo type="max"/>
        <color rgb="FFFF555A"/>
      </dataBar>
      <extLst>
        <ext xmlns:x14="http://schemas.microsoft.com/office/spreadsheetml/2009/9/main" uri="{B025F937-C7B1-47D3-B67F-A62EFF666E3E}">
          <x14:id>{DCA66ACC-C31B-474E-984D-0783C01E3641}</x14:id>
        </ext>
      </extLst>
    </cfRule>
  </conditionalFormatting>
  <conditionalFormatting sqref="E195">
    <cfRule type="dataBar" priority="28">
      <dataBar>
        <cfvo type="min"/>
        <cfvo type="max"/>
        <color rgb="FFFF555A"/>
      </dataBar>
      <extLst>
        <ext xmlns:x14="http://schemas.microsoft.com/office/spreadsheetml/2009/9/main" uri="{B025F937-C7B1-47D3-B67F-A62EFF666E3E}">
          <x14:id>{E1D001DD-8B82-4B11-BB1D-B3F3B069C538}</x14:id>
        </ext>
      </extLst>
    </cfRule>
  </conditionalFormatting>
  <conditionalFormatting sqref="E194">
    <cfRule type="dataBar" priority="27">
      <dataBar>
        <cfvo type="min"/>
        <cfvo type="max"/>
        <color rgb="FFFF555A"/>
      </dataBar>
      <extLst>
        <ext xmlns:x14="http://schemas.microsoft.com/office/spreadsheetml/2009/9/main" uri="{B025F937-C7B1-47D3-B67F-A62EFF666E3E}">
          <x14:id>{B7AAE7E6-4387-4EA1-B4BE-289FD0BE2713}</x14:id>
        </ext>
      </extLst>
    </cfRule>
  </conditionalFormatting>
  <conditionalFormatting sqref="E193">
    <cfRule type="dataBar" priority="26">
      <dataBar>
        <cfvo type="min"/>
        <cfvo type="max"/>
        <color rgb="FFFF555A"/>
      </dataBar>
      <extLst>
        <ext xmlns:x14="http://schemas.microsoft.com/office/spreadsheetml/2009/9/main" uri="{B025F937-C7B1-47D3-B67F-A62EFF666E3E}">
          <x14:id>{7AC45143-C5E0-486B-AC2B-F46EE1BF1B52}</x14:id>
        </ext>
      </extLst>
    </cfRule>
  </conditionalFormatting>
  <conditionalFormatting sqref="E192">
    <cfRule type="dataBar" priority="25">
      <dataBar>
        <cfvo type="min"/>
        <cfvo type="max"/>
        <color rgb="FFFF555A"/>
      </dataBar>
      <extLst>
        <ext xmlns:x14="http://schemas.microsoft.com/office/spreadsheetml/2009/9/main" uri="{B025F937-C7B1-47D3-B67F-A62EFF666E3E}">
          <x14:id>{E83B7A99-09BD-438B-98B6-AF9807154A4C}</x14:id>
        </ext>
      </extLst>
    </cfRule>
  </conditionalFormatting>
  <conditionalFormatting sqref="E191">
    <cfRule type="dataBar" priority="24">
      <dataBar>
        <cfvo type="min"/>
        <cfvo type="max"/>
        <color rgb="FFFF555A"/>
      </dataBar>
      <extLst>
        <ext xmlns:x14="http://schemas.microsoft.com/office/spreadsheetml/2009/9/main" uri="{B025F937-C7B1-47D3-B67F-A62EFF666E3E}">
          <x14:id>{F495FCDC-38C9-49F4-B133-3E1934D8CE45}</x14:id>
        </ext>
      </extLst>
    </cfRule>
  </conditionalFormatting>
  <conditionalFormatting sqref="E190">
    <cfRule type="dataBar" priority="23">
      <dataBar>
        <cfvo type="min"/>
        <cfvo type="max"/>
        <color rgb="FFFF555A"/>
      </dataBar>
      <extLst>
        <ext xmlns:x14="http://schemas.microsoft.com/office/spreadsheetml/2009/9/main" uri="{B025F937-C7B1-47D3-B67F-A62EFF666E3E}">
          <x14:id>{312FA6E9-C245-408C-9AE9-C37F4EC734E0}</x14:id>
        </ext>
      </extLst>
    </cfRule>
  </conditionalFormatting>
  <conditionalFormatting sqref="E189">
    <cfRule type="dataBar" priority="22">
      <dataBar>
        <cfvo type="min"/>
        <cfvo type="max"/>
        <color rgb="FFFF555A"/>
      </dataBar>
      <extLst>
        <ext xmlns:x14="http://schemas.microsoft.com/office/spreadsheetml/2009/9/main" uri="{B025F937-C7B1-47D3-B67F-A62EFF666E3E}">
          <x14:id>{09EF6E9B-DE8F-4E54-A6C2-5E063D3CB802}</x14:id>
        </ext>
      </extLst>
    </cfRule>
  </conditionalFormatting>
  <conditionalFormatting sqref="E188">
    <cfRule type="dataBar" priority="21">
      <dataBar>
        <cfvo type="min"/>
        <cfvo type="max"/>
        <color rgb="FFFF555A"/>
      </dataBar>
      <extLst>
        <ext xmlns:x14="http://schemas.microsoft.com/office/spreadsheetml/2009/9/main" uri="{B025F937-C7B1-47D3-B67F-A62EFF666E3E}">
          <x14:id>{D769CE7A-4464-423B-BE46-D44AAD42BE7E}</x14:id>
        </ext>
      </extLst>
    </cfRule>
  </conditionalFormatting>
  <conditionalFormatting sqref="E187">
    <cfRule type="dataBar" priority="20">
      <dataBar>
        <cfvo type="min"/>
        <cfvo type="max"/>
        <color rgb="FFFF555A"/>
      </dataBar>
      <extLst>
        <ext xmlns:x14="http://schemas.microsoft.com/office/spreadsheetml/2009/9/main" uri="{B025F937-C7B1-47D3-B67F-A62EFF666E3E}">
          <x14:id>{2478A258-CDF6-406B-AA1B-65BA5471E9E0}</x14:id>
        </ext>
      </extLst>
    </cfRule>
  </conditionalFormatting>
  <conditionalFormatting sqref="E186">
    <cfRule type="dataBar" priority="19">
      <dataBar>
        <cfvo type="min"/>
        <cfvo type="max"/>
        <color rgb="FFFF555A"/>
      </dataBar>
      <extLst>
        <ext xmlns:x14="http://schemas.microsoft.com/office/spreadsheetml/2009/9/main" uri="{B025F937-C7B1-47D3-B67F-A62EFF666E3E}">
          <x14:id>{1AFB080C-BB3E-42B3-91E2-8E7EA1351D42}</x14:id>
        </ext>
      </extLst>
    </cfRule>
  </conditionalFormatting>
  <conditionalFormatting sqref="E185">
    <cfRule type="dataBar" priority="18">
      <dataBar>
        <cfvo type="min"/>
        <cfvo type="max"/>
        <color rgb="FFFF555A"/>
      </dataBar>
      <extLst>
        <ext xmlns:x14="http://schemas.microsoft.com/office/spreadsheetml/2009/9/main" uri="{B025F937-C7B1-47D3-B67F-A62EFF666E3E}">
          <x14:id>{F5CAEDD1-9B6D-437A-8A0C-F693DFFF8845}</x14:id>
        </ext>
      </extLst>
    </cfRule>
  </conditionalFormatting>
  <conditionalFormatting sqref="E184">
    <cfRule type="dataBar" priority="17">
      <dataBar>
        <cfvo type="min"/>
        <cfvo type="max"/>
        <color rgb="FFFF555A"/>
      </dataBar>
      <extLst>
        <ext xmlns:x14="http://schemas.microsoft.com/office/spreadsheetml/2009/9/main" uri="{B025F937-C7B1-47D3-B67F-A62EFF666E3E}">
          <x14:id>{972BC8A6-EF02-4792-92C9-534ED9CABED1}</x14:id>
        </ext>
      </extLst>
    </cfRule>
  </conditionalFormatting>
  <conditionalFormatting sqref="E183">
    <cfRule type="dataBar" priority="16">
      <dataBar>
        <cfvo type="min"/>
        <cfvo type="max"/>
        <color rgb="FFFF555A"/>
      </dataBar>
      <extLst>
        <ext xmlns:x14="http://schemas.microsoft.com/office/spreadsheetml/2009/9/main" uri="{B025F937-C7B1-47D3-B67F-A62EFF666E3E}">
          <x14:id>{2C2CFDE7-DF9B-4D0D-A1A7-30AD171383BB}</x14:id>
        </ext>
      </extLst>
    </cfRule>
  </conditionalFormatting>
  <conditionalFormatting sqref="E182">
    <cfRule type="dataBar" priority="15">
      <dataBar>
        <cfvo type="min"/>
        <cfvo type="max"/>
        <color rgb="FFFF555A"/>
      </dataBar>
      <extLst>
        <ext xmlns:x14="http://schemas.microsoft.com/office/spreadsheetml/2009/9/main" uri="{B025F937-C7B1-47D3-B67F-A62EFF666E3E}">
          <x14:id>{8536D5B3-4487-4C35-8444-978961C0BF76}</x14:id>
        </ext>
      </extLst>
    </cfRule>
  </conditionalFormatting>
  <conditionalFormatting sqref="E181">
    <cfRule type="dataBar" priority="14">
      <dataBar>
        <cfvo type="min"/>
        <cfvo type="max"/>
        <color rgb="FFFF555A"/>
      </dataBar>
      <extLst>
        <ext xmlns:x14="http://schemas.microsoft.com/office/spreadsheetml/2009/9/main" uri="{B025F937-C7B1-47D3-B67F-A62EFF666E3E}">
          <x14:id>{02250EA5-6FD2-47A3-AA31-BF8DD0FAC473}</x14:id>
        </ext>
      </extLst>
    </cfRule>
  </conditionalFormatting>
  <conditionalFormatting sqref="E180">
    <cfRule type="dataBar" priority="13">
      <dataBar>
        <cfvo type="min"/>
        <cfvo type="max"/>
        <color rgb="FFFF555A"/>
      </dataBar>
      <extLst>
        <ext xmlns:x14="http://schemas.microsoft.com/office/spreadsheetml/2009/9/main" uri="{B025F937-C7B1-47D3-B67F-A62EFF666E3E}">
          <x14:id>{37334317-5530-49DC-85BD-AD73F704F456}</x14:id>
        </ext>
      </extLst>
    </cfRule>
  </conditionalFormatting>
  <conditionalFormatting sqref="E179">
    <cfRule type="dataBar" priority="12">
      <dataBar>
        <cfvo type="min"/>
        <cfvo type="max"/>
        <color rgb="FFFF555A"/>
      </dataBar>
      <extLst>
        <ext xmlns:x14="http://schemas.microsoft.com/office/spreadsheetml/2009/9/main" uri="{B025F937-C7B1-47D3-B67F-A62EFF666E3E}">
          <x14:id>{D9241248-DF95-4C50-B0C7-D0111F451DD5}</x14:id>
        </ext>
      </extLst>
    </cfRule>
  </conditionalFormatting>
  <conditionalFormatting sqref="D101:D102">
    <cfRule type="dataBar" priority="11">
      <dataBar>
        <cfvo type="min"/>
        <cfvo type="max"/>
        <color rgb="FFFF555A"/>
      </dataBar>
      <extLst>
        <ext xmlns:x14="http://schemas.microsoft.com/office/spreadsheetml/2009/9/main" uri="{B025F937-C7B1-47D3-B67F-A62EFF666E3E}">
          <x14:id>{6DEF2A87-0655-4CDA-A182-3F00DC30198E}</x14:id>
        </ext>
      </extLst>
    </cfRule>
  </conditionalFormatting>
  <conditionalFormatting sqref="D100">
    <cfRule type="dataBar" priority="10">
      <dataBar>
        <cfvo type="min"/>
        <cfvo type="max"/>
        <color rgb="FFFF555A"/>
      </dataBar>
      <extLst>
        <ext xmlns:x14="http://schemas.microsoft.com/office/spreadsheetml/2009/9/main" uri="{B025F937-C7B1-47D3-B67F-A62EFF666E3E}">
          <x14:id>{5A62B750-280C-4AEF-AE47-EE5A2338AF3B}</x14:id>
        </ext>
      </extLst>
    </cfRule>
  </conditionalFormatting>
  <conditionalFormatting sqref="D99">
    <cfRule type="dataBar" priority="9">
      <dataBar>
        <cfvo type="min"/>
        <cfvo type="max"/>
        <color rgb="FFFF555A"/>
      </dataBar>
      <extLst>
        <ext xmlns:x14="http://schemas.microsoft.com/office/spreadsheetml/2009/9/main" uri="{B025F937-C7B1-47D3-B67F-A62EFF666E3E}">
          <x14:id>{DE26E0DF-B529-416E-B669-A80B6E95F0D1}</x14:id>
        </ext>
      </extLst>
    </cfRule>
  </conditionalFormatting>
  <conditionalFormatting sqref="E101:E102">
    <cfRule type="dataBar" priority="8">
      <dataBar>
        <cfvo type="min"/>
        <cfvo type="max"/>
        <color rgb="FFFF555A"/>
      </dataBar>
      <extLst>
        <ext xmlns:x14="http://schemas.microsoft.com/office/spreadsheetml/2009/9/main" uri="{B025F937-C7B1-47D3-B67F-A62EFF666E3E}">
          <x14:id>{521812CE-A9F0-4E33-8A1B-C35325A2176D}</x14:id>
        </ext>
      </extLst>
    </cfRule>
  </conditionalFormatting>
  <conditionalFormatting sqref="E100">
    <cfRule type="dataBar" priority="7">
      <dataBar>
        <cfvo type="min"/>
        <cfvo type="max"/>
        <color rgb="FFFF555A"/>
      </dataBar>
      <extLst>
        <ext xmlns:x14="http://schemas.microsoft.com/office/spreadsheetml/2009/9/main" uri="{B025F937-C7B1-47D3-B67F-A62EFF666E3E}">
          <x14:id>{05A7AEA8-A618-4BE2-836E-9C07ECFC884E}</x14:id>
        </ext>
      </extLst>
    </cfRule>
  </conditionalFormatting>
  <conditionalFormatting sqref="E99">
    <cfRule type="dataBar" priority="6">
      <dataBar>
        <cfvo type="min"/>
        <cfvo type="max"/>
        <color rgb="FFFF555A"/>
      </dataBar>
      <extLst>
        <ext xmlns:x14="http://schemas.microsoft.com/office/spreadsheetml/2009/9/main" uri="{B025F937-C7B1-47D3-B67F-A62EFF666E3E}">
          <x14:id>{46A0160E-4790-4785-A4C4-A72141BF50E9}</x14:id>
        </ext>
      </extLst>
    </cfRule>
  </conditionalFormatting>
  <conditionalFormatting sqref="I13:I102">
    <cfRule type="cellIs" dxfId="169" priority="17894" operator="equal">
      <formula>MIN(I$13:I$101)</formula>
    </cfRule>
    <cfRule type="cellIs" dxfId="168" priority="17895" operator="lessThan">
      <formula>MIN(I$13:I$101)*1.1</formula>
    </cfRule>
    <cfRule type="colorScale" priority="17896">
      <colorScale>
        <cfvo type="min"/>
        <cfvo type="percentile" val="50"/>
        <cfvo type="max"/>
        <color rgb="FF63BE7B"/>
        <color rgb="FFFFFF99"/>
        <color rgb="FFF8696B"/>
      </colorScale>
    </cfRule>
  </conditionalFormatting>
  <conditionalFormatting sqref="G13:G102">
    <cfRule type="cellIs" dxfId="167" priority="17903" operator="equal">
      <formula>MIN(G$13:G$101)</formula>
    </cfRule>
    <cfRule type="cellIs" dxfId="166" priority="17904" operator="lessThan">
      <formula>MIN(G$13:G$101)*1.1</formula>
    </cfRule>
    <cfRule type="colorScale" priority="17905">
      <colorScale>
        <cfvo type="min"/>
        <cfvo type="percentile" val="50"/>
        <cfvo type="max"/>
        <color rgb="FF63BE7B"/>
        <color rgb="FFFFFF99"/>
        <color rgb="FFF8696B"/>
      </colorScale>
    </cfRule>
  </conditionalFormatting>
  <conditionalFormatting sqref="F13:F102">
    <cfRule type="cellIs" dxfId="165" priority="17912" operator="equal">
      <formula>MIN(F$13:F$101)</formula>
    </cfRule>
    <cfRule type="cellIs" dxfId="164" priority="17913" operator="lessThan">
      <formula>MIN(F$13:F$101)*1.1</formula>
    </cfRule>
    <cfRule type="colorScale" priority="17914">
      <colorScale>
        <cfvo type="min"/>
        <cfvo type="percentile" val="50"/>
        <cfvo type="max"/>
        <color rgb="FF63BE7B"/>
        <color rgb="FFFFFF99"/>
        <color rgb="FFF8696B"/>
      </colorScale>
    </cfRule>
  </conditionalFormatting>
  <conditionalFormatting sqref="H13:H102">
    <cfRule type="cellIs" dxfId="163" priority="17921" operator="equal">
      <formula>MIN(H$13:H$101)</formula>
    </cfRule>
    <cfRule type="colorScale" priority="17922">
      <colorScale>
        <cfvo type="min"/>
        <cfvo type="percentile" val="50"/>
        <cfvo type="max"/>
        <color rgb="FF63BE7B"/>
        <color rgb="FFFFFF99"/>
        <color rgb="FFF8696B"/>
      </colorScale>
    </cfRule>
    <cfRule type="cellIs" dxfId="162" priority="17923" operator="lessThan">
      <formula>MIN(H$13:H$101)*1.1</formula>
    </cfRule>
  </conditionalFormatting>
  <conditionalFormatting sqref="J13:J102">
    <cfRule type="cellIs" dxfId="161" priority="17930" operator="equal">
      <formula>MIN(J$13:J$101)</formula>
    </cfRule>
    <cfRule type="cellIs" dxfId="160" priority="17931" operator="lessThan">
      <formula>MIN(J$13:J$101)*1.1</formula>
    </cfRule>
    <cfRule type="colorScale" priority="17932">
      <colorScale>
        <cfvo type="min"/>
        <cfvo type="percentile" val="50"/>
        <cfvo type="max"/>
        <color rgb="FF63BE7B"/>
        <color rgb="FFFFFF99"/>
        <color rgb="FFF8696B"/>
      </colorScale>
    </cfRule>
  </conditionalFormatting>
  <conditionalFormatting sqref="K13:K102">
    <cfRule type="cellIs" dxfId="159" priority="17939" operator="equal">
      <formula>MIN(K$13:K$101)</formula>
    </cfRule>
    <cfRule type="cellIs" dxfId="158" priority="17940" operator="lessThan">
      <formula>MIN(K$13:K$101)*1.1</formula>
    </cfRule>
    <cfRule type="colorScale" priority="17941">
      <colorScale>
        <cfvo type="min"/>
        <cfvo type="percentile" val="50"/>
        <cfvo type="max"/>
        <color rgb="FF63BE7B"/>
        <color rgb="FFFFFF99"/>
        <color rgb="FFF8696B"/>
      </colorScale>
    </cfRule>
  </conditionalFormatting>
  <conditionalFormatting sqref="D12:E98">
    <cfRule type="dataBar" priority="17948">
      <dataBar>
        <cfvo type="min"/>
        <cfvo type="max"/>
        <color rgb="FFFF555A"/>
      </dataBar>
      <extLst>
        <ext xmlns:x14="http://schemas.microsoft.com/office/spreadsheetml/2009/9/main" uri="{B025F937-C7B1-47D3-B67F-A62EFF666E3E}">
          <x14:id>{275F6464-BCF8-44A7-882A-1563535FDF0E}</x14:id>
        </ext>
      </extLst>
    </cfRule>
  </conditionalFormatting>
  <conditionalFormatting sqref="E13:E98">
    <cfRule type="cellIs" dxfId="157" priority="17950" operator="equal">
      <formula>MIN(E$13:E$98)</formula>
    </cfRule>
  </conditionalFormatting>
  <conditionalFormatting sqref="D12:D98">
    <cfRule type="dataBar" priority="17953">
      <dataBar>
        <cfvo type="min"/>
        <cfvo type="max"/>
        <color rgb="FFFF555A"/>
      </dataBar>
      <extLst>
        <ext xmlns:x14="http://schemas.microsoft.com/office/spreadsheetml/2009/9/main" uri="{B025F937-C7B1-47D3-B67F-A62EFF666E3E}">
          <x14:id>{7D59A405-C7B6-4D1E-8B7C-15F5B1790F60}</x14:id>
        </ext>
      </extLst>
    </cfRule>
  </conditionalFormatting>
  <conditionalFormatting sqref="E114:E166">
    <cfRule type="cellIs" dxfId="156" priority="17956" operator="equal">
      <formula>MIN(E$114:E$166)</formula>
    </cfRule>
  </conditionalFormatting>
  <conditionalFormatting sqref="D113:D166">
    <cfRule type="dataBar" priority="17959">
      <dataBar>
        <cfvo type="min"/>
        <cfvo type="max"/>
        <color rgb="FFFF555A"/>
      </dataBar>
      <extLst>
        <ext xmlns:x14="http://schemas.microsoft.com/office/spreadsheetml/2009/9/main" uri="{B025F937-C7B1-47D3-B67F-A62EFF666E3E}">
          <x14:id>{20A0164F-5FD8-44D5-9A82-DCA3A5EFE857}</x14:id>
        </ext>
      </extLst>
    </cfRule>
  </conditionalFormatting>
  <conditionalFormatting sqref="F114:F198">
    <cfRule type="cellIs" dxfId="155" priority="17961" operator="equal">
      <formula>MIN(F$114:F$188)</formula>
    </cfRule>
    <cfRule type="cellIs" dxfId="154" priority="17962" operator="lessThan">
      <formula>MIN(F$114:F$188)*1.1</formula>
    </cfRule>
    <cfRule type="colorScale" priority="17963">
      <colorScale>
        <cfvo type="min"/>
        <cfvo type="percentile" val="50"/>
        <cfvo type="max"/>
        <color rgb="FF63BE7B"/>
        <color rgb="FFFFFF99"/>
        <color rgb="FFF8696B"/>
      </colorScale>
    </cfRule>
  </conditionalFormatting>
  <conditionalFormatting sqref="G114:G198">
    <cfRule type="cellIs" dxfId="153" priority="17970" operator="equal">
      <formula>MIN(G$114:G$188)</formula>
    </cfRule>
    <cfRule type="cellIs" dxfId="152" priority="17971" operator="lessThan">
      <formula>MIN(G$114:G$188)*1.1</formula>
    </cfRule>
    <cfRule type="colorScale" priority="17972">
      <colorScale>
        <cfvo type="min"/>
        <cfvo type="percentile" val="50"/>
        <cfvo type="max"/>
        <color rgb="FF63BE7B"/>
        <color rgb="FFFFFF99"/>
        <color rgb="FFF8696B"/>
      </colorScale>
    </cfRule>
  </conditionalFormatting>
  <conditionalFormatting sqref="H114:H198">
    <cfRule type="cellIs" dxfId="151" priority="17979" operator="equal">
      <formula>MIN(H$114:H$188)</formula>
    </cfRule>
    <cfRule type="cellIs" dxfId="150" priority="17980" operator="lessThan">
      <formula>MIN(H$114:H$188)*1.1</formula>
    </cfRule>
    <cfRule type="colorScale" priority="17981">
      <colorScale>
        <cfvo type="min"/>
        <cfvo type="percentile" val="50"/>
        <cfvo type="max"/>
        <color rgb="FF63BE7B"/>
        <color rgb="FFFFFF99"/>
        <color rgb="FFF8696B"/>
      </colorScale>
    </cfRule>
  </conditionalFormatting>
  <conditionalFormatting sqref="I114:I198">
    <cfRule type="cellIs" dxfId="149" priority="17988" operator="equal">
      <formula>MIN(I$114:I$188)</formula>
    </cfRule>
    <cfRule type="cellIs" dxfId="148" priority="17989" operator="lessThan">
      <formula>MIN(I$114:I$188)*1.1</formula>
    </cfRule>
    <cfRule type="colorScale" priority="17990">
      <colorScale>
        <cfvo type="min"/>
        <cfvo type="percentile" val="50"/>
        <cfvo type="max"/>
        <color rgb="FF63BE7B"/>
        <color rgb="FFFFFF99"/>
        <color rgb="FFF8696B"/>
      </colorScale>
    </cfRule>
  </conditionalFormatting>
  <conditionalFormatting sqref="D13:D98">
    <cfRule type="dataBar" priority="1">
      <dataBar>
        <cfvo type="min"/>
        <cfvo type="max"/>
        <color rgb="FFFF555A"/>
      </dataBar>
      <extLst>
        <ext xmlns:x14="http://schemas.microsoft.com/office/spreadsheetml/2009/9/main" uri="{B025F937-C7B1-47D3-B67F-A62EFF666E3E}">
          <x14:id>{748EB39B-3E8C-4F72-8D4F-952333F814F4}</x14:id>
        </ext>
      </extLst>
    </cfRule>
  </conditionalFormatting>
  <hyperlinks>
    <hyperlink ref="B68" r:id="rId1" display="SONARC v2.1i (27.06.1994) -F4096 -O0 -S2 -X"/>
    <hyperlink ref="B89" r:id="rId2" display="7-Zip x64 9.1.7 (0=delta:4 1=lzma:lp1:d96:fb273) Igor Pavlov"/>
    <hyperlink ref="B101" r:id="rId3" display="VOCPACK v1.0 (02.03.1993) Nicola Ferioli"/>
    <hyperlink ref="B87" r:id="rId4" display="Onda Lossless Audio v2.2 (07.01.2008) JAVA"/>
    <hyperlink ref="B85" r:id="rId5" display="WinRar x64 v3.92 (4096 KB dictionary + Delta) Eugene Roshal"/>
    <hyperlink ref="B78" r:id="rId6" display="WinAce v2.69 Final (4096 KB dict + Delta) Marcel Lemke"/>
    <hyperlink ref="B77" r:id="rId7" display="Shorten v3.51 - 3.61 (14.02.2003) Tony Robinson"/>
    <hyperlink ref="B79" r:id="rId8"/>
    <hyperlink ref="B72" r:id="rId9" display="UHARC v0.6b (PPM, 32MB dict., Multimedia ) U. Herklotz"/>
    <hyperlink ref="B67" r:id="rId10" display="OSQ Steinberg Wavelab 6 Ess. Original Sound Quality"/>
    <hyperlink ref="B73" r:id="rId11" display="Bonk v1.0.7 (2001-26.02.2008) -32 Robert Kausch"/>
    <hyperlink ref="B20" r:id="rId12" display="LA v0.4b (08.02.2004) -high Michael Bevin"/>
    <hyperlink ref="B23" r:id="rId13" display="LA v0.4b (08.02.2004) normal Michael Bevin"/>
    <hyperlink ref="B14" r:id="rId14" display="OptimFrog v4.910ex (11.02.'11) --max. -experimental Florin Ghido"/>
    <hyperlink ref="B26" r:id="rId15" display="OptimFrog v4.910ex (11.02.'11) --mode highnew Florin Ghido"/>
    <hyperlink ref="B25" r:id="rId16" display="OptimFrog v4.910ex (11.02.'11) --mode extranew Florin Ghido"/>
    <hyperlink ref="B22" r:id="rId17" display="OptimFrog v4.910ex (11.02.'11) --bestnew -opt. Best Florin Ghido"/>
    <hyperlink ref="B19" r:id="rId18" display="OptimFrog v4.910ex (11.02.'11) --maximumcompression F. Ghido"/>
    <hyperlink ref="B30" r:id="rId19" display="STUFFIT 2010 v14.0.0.9 (2009) SITX"/>
    <hyperlink ref="B28" r:id="rId20" display="Monkey's Audio v4.01 (28.04.06) (insane) Matthew T. Ashland"/>
    <hyperlink ref="B70" r:id="rId21" display="KrishnaSoft Sound Process.Soft. v1 (06.06.00)"/>
    <hyperlink ref="B45" r:id="rId22" display="LPAC Archiver v1.41 (01.10.2002) Extra High + JointStereo"/>
    <hyperlink ref="B56" r:id="rId23" display="WAVPACK v4.60.1 (29.11.2009) no option David Bryant"/>
    <hyperlink ref="B60" r:id="rId24"/>
    <hyperlink ref="B47" r:id="rId25" display="FlaCCL 0.4 (14.06.2011) Gregory S. Chudov -11 -b 4096"/>
    <hyperlink ref="B46" r:id="rId26"/>
    <hyperlink ref="B53" r:id="rId27" display="FLAC 1.2.1 (17.09.07) Josh Coalson -8 -b 4096"/>
    <hyperlink ref="B55" r:id="rId28" display="SBC Archiver v0.970 (2004) -m3 -b63 Sami J. Makinen"/>
    <hyperlink ref="B48" r:id="rId29" display="TTA TrueAudio 3.4.1 (27.07.'07) Alexander Djourik"/>
    <hyperlink ref="B43" r:id="rId30" display="MPEG-4 ALS RM23 (29.01.2011) -i -o1023 -a -b -z3 -p"/>
    <hyperlink ref="B34" r:id="rId31" display="MPEG-4 ALS RM23 (29.01.2011) (RM20) -7 -a"/>
    <hyperlink ref="B96" r:id="rId32" display="MultitrackStudio Lite 7.1  (2012) .GJS Bremmers Audio Design"/>
    <hyperlink ref="B44" r:id="rId33" display="WinZip 16.5.10095 (ZIPX) best method"/>
    <hyperlink ref="B40" r:id="rId34" display="WAVPACK v4.60.1 (29.11.2009)) -HHX6 David Bryant"/>
    <hyperlink ref="B39" r:id="rId35" display="FreeARC 0.67 ultra (2012) Bulat Ziganshin"/>
    <hyperlink ref="B31" r:id="rId36" display="NanoZip 0.09α -cc -m2g (04.11.2011) Sami Runsas"/>
    <hyperlink ref="B33" r:id="rId37" display="TAK 2.2.0 (29.05.2011) -p4m Thomas Becker"/>
    <hyperlink ref="B13" r:id="rId38" display="SAC 0.0.6a4 (05.08.2007) --insane Sebastian"/>
    <hyperlink ref="B97" r:id="rId39" display="GZIP 1.3.5 (-9) ('07) Jean-Loup Gailly &amp; Mark Adler"/>
    <hyperlink ref="B95" r:id="rId40" display="BZIP2 1.0 (2008) -9 Julian Seward"/>
    <hyperlink ref="B63" r:id="rId41"/>
    <hyperlink ref="B98" r:id="rId42"/>
    <hyperlink ref="B71" r:id="rId43" display="KrishnaSoft Sound Process.Soft. v1 (06.06.00)"/>
    <hyperlink ref="F9" r:id="rId44" display="here"/>
    <hyperlink ref="F110" r:id="rId45" display="here"/>
    <hyperlink ref="B192" r:id="rId46" display="SONARC v2.1i (27.06.1994) -F4096 -O0 -S2 -X"/>
    <hyperlink ref="B195" r:id="rId47" display="VOCPACK v1.0 (02.03.1993) Nicola Ferioli"/>
    <hyperlink ref="B146" r:id="rId48" display="WinRar x64 v3.92 (4096 KB dictionary + Delta) Eugene Roshal"/>
    <hyperlink ref="B148" r:id="rId49" display="WinAce v2.69 Final (4096 KB dict + Delta) Marcel Lemke"/>
    <hyperlink ref="B191" r:id="rId50" display="Shorten v3.51 - 3.61 (14.02.2003) Tony Robinson"/>
    <hyperlink ref="B141" r:id="rId51"/>
    <hyperlink ref="B137" r:id="rId52" display="OSQ Steinberg Wavelab 6 Ess. Original Sound Quality"/>
    <hyperlink ref="B171" r:id="rId53" display="Bonk v1.0.7 (2001-26.02.2008) -32 Robert Kausch"/>
    <hyperlink ref="B176" r:id="rId54" display="LA v0.4b (08.02.2004) -high Michael Bevin"/>
    <hyperlink ref="B177" r:id="rId55" display="LA v0.4b (08.02.2004) normal Michael Bevin"/>
    <hyperlink ref="B114" r:id="rId56" display="OptimFrog v4.910ex (11.02.'11) --max. -experimental Florin Ghido"/>
    <hyperlink ref="B122" r:id="rId57" display="OptimFrog v4.910ex (11.02.'11) --mode highnew Florin Ghido"/>
    <hyperlink ref="B121" r:id="rId58" display="OptimFrog v4.910ex (11.02.'11) --mode extranew Florin Ghido"/>
    <hyperlink ref="B117" r:id="rId59" display="OptimFrog v4.910ex (11.02.'11) --bestnew -opt. Best Florin Ghido"/>
    <hyperlink ref="B116" r:id="rId60" display="OptimFrog v4.910ex (11.02.'11) --maximumcompression F. Ghido"/>
    <hyperlink ref="B159" r:id="rId61" display="STUFFIT 2010 v14.0.0.9 (2009) SITX"/>
    <hyperlink ref="B174" r:id="rId62" display="KrishnaSoft Sound Process.Soft. v1 (06.06.00)"/>
    <hyperlink ref="B135" r:id="rId63" display="WAVPACK v4.60.1 (29.11.2009) no option David Bryant"/>
    <hyperlink ref="B128" r:id="rId64" display="FlaCCL 0.4 (14.06.2011) Gregory S. Chudov -11 -b 4096"/>
    <hyperlink ref="B188" r:id="rId65"/>
    <hyperlink ref="B133" r:id="rId66" display="FLAC 1.2.1 (17.09.07) Josh Coalson -8 -b 4096"/>
    <hyperlink ref="B152" r:id="rId67" display="SBC Archiver v0.970 (2004) -m3 -b63 Sami J. Makinen"/>
    <hyperlink ref="B127" r:id="rId68" display="MPEG-4 ALS RM23 (29.01.2011) -i -o1023 -a -b -z3 -p"/>
    <hyperlink ref="B126" r:id="rId69" display="MPEG-4 ALS RM23 (29.01.2011) (RM20) -7 -a"/>
    <hyperlink ref="B185" r:id="rId70" display="MultitrackStudio Lite 7.1  (2012) .GJS Bremmers Audio Design"/>
    <hyperlink ref="B184" r:id="rId71"/>
    <hyperlink ref="B130" r:id="rId72"/>
    <hyperlink ref="B131" r:id="rId73" display="WAVPACK v4.60.1 (29.11.2009)) -HHX6 David Bryant"/>
    <hyperlink ref="B125" r:id="rId74"/>
    <hyperlink ref="B138" r:id="rId75" display="NanoZip 0.09α -cc -m2g (04.11.2011) Sami Runsas"/>
    <hyperlink ref="B123" r:id="rId76" display="TAK 2.2.0 (29.05.2011) -p4m Thomas Becker"/>
    <hyperlink ref="B190" r:id="rId77"/>
    <hyperlink ref="B162" r:id="rId78" display="GZIP 1.3.5 (-9) ('07) Jean-Loup Gailly &amp; Mark Adler"/>
    <hyperlink ref="B163" r:id="rId79" display="BZIP2 1.0 (2008) -9 Julian Seward"/>
    <hyperlink ref="B139" r:id="rId80"/>
    <hyperlink ref="B193" r:id="rId81"/>
    <hyperlink ref="B173" r:id="rId82" display="KrishnaSoft Sound Process.Soft. v1 (06.06.00)"/>
    <hyperlink ref="G110" r:id="rId83" display="here"/>
    <hyperlink ref="H110" r:id="rId84" display="here"/>
    <hyperlink ref="I110" r:id="rId85" display="here"/>
    <hyperlink ref="B194" r:id="rId86" display="SONY Perfect Clarity Audio .PCA (Sound Forge Pro 10 Trial)"/>
    <hyperlink ref="B160" r:id="rId87" display="Squeez 5.63 (2008) SQX2 ultra 32 MB auto (SpeedCommander 14)"/>
    <hyperlink ref="B147" r:id="rId88" location="1350" display="PAQ8pxd_v4 (19.04.2012) -7 -worldwide PAQ crew-"/>
    <hyperlink ref="B37" r:id="rId89" location="1350" display="PAQ8pxd_v4 (19.04.2012) -7 -worldwide PAQ crew-"/>
    <hyperlink ref="B76" r:id="rId90" display="SONY Perfect Clarity Audio .PCA (Sound Forge Pro 10 Trial)"/>
    <hyperlink ref="B21" r:id="rId91" display="LA 0.4b (08.02.2004) normal Michael Bevin"/>
    <hyperlink ref="B24" r:id="rId92" display="LA 0.2 (07.09.2002) -no option- Michael Bevin"/>
    <hyperlink ref="B59" r:id="rId93" display="Squeez 5.63 (2008) SQX2 ultra 32 MB auto (SpeedCommander 14)"/>
    <hyperlink ref="B29" r:id="rId94" display="WinRK 3.1.2 beta (2005) best asymmetric Malcolm Taylor"/>
    <hyperlink ref="B156" r:id="rId95" display="WinRK 3.1.2 beta (2005) best asymmetric Malcolm Taylor"/>
    <hyperlink ref="B189" r:id="rId96" display="RKAU 1.07 (11.12.2000) Malcolm Taylor"/>
    <hyperlink ref="B42" r:id="rId97" display="RKAU 1.07 (11.12.2000) Malcolm Taylor"/>
    <hyperlink ref="G9" r:id="rId98" display="here"/>
    <hyperlink ref="H9" r:id="rId99" display="here"/>
    <hyperlink ref="B149" r:id="rId100" display="7-Zip x64 9.1.7 (0=delta:4 1=lzma:lp1:d96:fb273) Igor Pavlov"/>
    <hyperlink ref="I9" r:id="rId101" display="here"/>
    <hyperlink ref="J9" r:id="rId102" display="here"/>
    <hyperlink ref="K9" r:id="rId103" display="here"/>
    <hyperlink ref="B32" r:id="rId104" display="TAK 2.2.0 (29.05.2011) -p4m Thomas Becker"/>
    <hyperlink ref="B54" r:id="rId105" display="FLAC 1.3.0 x64  -8 -b 4096 (02.06.2013) Josh Coalson"/>
    <hyperlink ref="B41" r:id="rId106"/>
    <hyperlink ref="B57" r:id="rId107"/>
    <hyperlink ref="B65" r:id="rId108" display="WMA 0.2.9b --codec lossless (2011-2013) Microsoft Corporation"/>
    <hyperlink ref="B49" r:id="rId109" display="FLAKE 0.11 -12 (2007) Justin Ruggles"/>
    <hyperlink ref="B153" r:id="rId110" display="UHARC v0.6b (PPM, 32MB dict., Multimedia ) U. Herklotz"/>
    <hyperlink ref="B170" r:id="rId111"/>
    <hyperlink ref="B179" r:id="rId112" display="LPAC Archiver v1.41 (01.10.2002) Extra High + JointStereo"/>
    <hyperlink ref="B187" r:id="rId113" display="Onda Lossless Audio v2.2 (07.01.2008) JAVA"/>
    <hyperlink ref="B198" r:id="rId114" display="WMA 0.2.9b --codec lossless (2011-2013) Microsoft Corporation"/>
    <hyperlink ref="B136" r:id="rId115" display="WAVPACK 4.70.0 beta x64 (23.05.2013) David Bryant"/>
    <hyperlink ref="B134" r:id="rId116" display="FLAC 1.3.0 x64  -8 -b 4096 (02.06.2013) Josh Coalson"/>
    <hyperlink ref="B132" r:id="rId117" display="WAVPACK 4.70.0 beta x64 -HHX6 (23.05.2013) David Bryant"/>
    <hyperlink ref="B124" r:id="rId118" display="TAK 2.2.0 (29.05.2011) -p4m Thomas Becker"/>
    <hyperlink ref="B129" r:id="rId119" display="TTA TrueAudio 3.4.1 (27.07.'07) Alexander Djourik"/>
    <hyperlink ref="B81" r:id="rId120" display="CSC 3.2 -m3 -d512 (18.08.2011) Siyuan Fu"/>
    <hyperlink ref="B157" r:id="rId121" display="CSC 3.2 -m3 -d512 (18.08.2011) Siyuan Fu"/>
    <hyperlink ref="B145" r:id="rId122" display="WinRar x64 v3.92 (4096 KB dictionary + Delta) Eugene Roshal"/>
    <hyperlink ref="B91" r:id="rId123" display="WinRar x64 v3.92 (4096 KB dictionary + Delta) Eugene Roshal"/>
    <hyperlink ref="B69" r:id="rId124" display="ZCM 0.92 -m7 -r -s (2014) Francesco Nania"/>
    <hyperlink ref="B142" r:id="rId125" display="ZCM 0.92 -m7 -r -s (2014) Francesco Nania"/>
    <hyperlink ref="B84" r:id="rId126" display="MCM 0.83 -x9 (2015) Mathieu Chartier)"/>
    <hyperlink ref="B158" r:id="rId127" display="MCM 0.83 -x9 (2015) Mathieu Chartier)"/>
    <hyperlink ref="F7" r:id="rId128"/>
    <hyperlink ref="G7" r:id="rId129"/>
    <hyperlink ref="F108" r:id="rId130"/>
    <hyperlink ref="H7" r:id="rId131"/>
    <hyperlink ref="G108" r:id="rId132"/>
    <hyperlink ref="H108" r:id="rId133"/>
    <hyperlink ref="I108" r:id="rId134"/>
    <hyperlink ref="I7" r:id="rId135"/>
    <hyperlink ref="J7" r:id="rId136"/>
    <hyperlink ref="K7" r:id="rId137"/>
    <hyperlink ref="B17" r:id="rId138" display="OptimFrog v4.910ex (11.02.'11) --max. -experimental Florin Ghido"/>
    <hyperlink ref="B118" r:id="rId139" display="OptimFrog v4.910ex (11.02.'11) --max. -experimental Florin Ghido"/>
    <hyperlink ref="B140" r:id="rId140" display="Packet 1.9 -mx -s -b5 -h9 Francesco Nania"/>
    <hyperlink ref="B61" r:id="rId141" display="Packet 1.9 -mx -s -b5 -h9 Francesco Nania"/>
    <hyperlink ref="B18" r:id="rId142" display="OptimFrog v4.910ex (11.02.'11) --max. -experimental Florin Ghido"/>
    <hyperlink ref="B16" r:id="rId143" display="OptimFrog v4.910ex (11.02.'11) --max. -experimental Florin Ghido"/>
    <hyperlink ref="B15" r:id="rId144" display="OptimFrog v4.910ex (11.02.'11) --max. -experimental Florin Ghido"/>
    <hyperlink ref="B119" r:id="rId145" display="OptimFrog v4.910ex (11.02.'11) --max. -experimental Florin Ghido"/>
    <hyperlink ref="B115" r:id="rId146" display="OptimFrog v4.910ex (11.02.'11) --max. -experimental Florin Ghido"/>
    <hyperlink ref="B120" r:id="rId147" display="OptimFrog v4.910ex (11.02.'11) --max. -experimental Florin Ghido"/>
    <hyperlink ref="B151" r:id="rId148"/>
    <hyperlink ref="B143" r:id="rId149" display="Emma 0.1.24 x64 preset 'best' Márcio Pais"/>
    <hyperlink ref="B165" r:id="rId150" display="PowerArchiver 17.00.90 .pa opt. strong extreme"/>
    <hyperlink ref="B64" r:id="rId151"/>
    <hyperlink ref="B50" r:id="rId152" display="Emma 0.1.24 x64 preset 'best' Márcio Pais"/>
    <hyperlink ref="B82" r:id="rId153" display="PowerArchiver 17.00.90 .pa opt. strong extreme"/>
    <hyperlink ref="B58" r:id="rId154"/>
    <hyperlink ref="B150" r:id="rId155" display="RAZOR Archiver 1.00 (2017) Christian Martelock"/>
    <hyperlink ref="B36" r:id="rId156" display="RAZOR Archiver 1.00 (2017) Christian Martelock"/>
    <hyperlink ref="B4" location="AUDIO!B29" display="   → proceed to table 1: artificial"/>
    <hyperlink ref="B5" location="AUDIO!B129" display="   → proceed to table 2: Photographs, RGB"/>
  </hyperlinks>
  <pageMargins left="0.70866141732283472" right="0.70866141732283472" top="0.74803149606299213" bottom="0.74803149606299213" header="0.31496062992125984" footer="0.31496062992125984"/>
  <pageSetup paperSize="9" scale="65" fitToWidth="2" fitToHeight="2" orientation="portrait" r:id="rId157"/>
  <drawing r:id="rId158"/>
  <legacyDrawing r:id="rId159"/>
  <picture r:id="rId160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5F9C900-5916-4091-B9AB-28F1CDDA6A0D}">
            <x14:dataBar minLength="0" maxLength="100" border="1" negativeBarBorderColorSameAsPositive="0">
              <x14:cfvo type="autoMin"/>
              <x14:cfvo type="autoMax"/>
              <x14:borderColor rgb="FFFF555A"/>
              <x14:negativeFillColor rgb="FFFF0000"/>
              <x14:negativeBorderColor rgb="FFFF0000"/>
              <x14:axisColor rgb="FF000000"/>
            </x14:dataBar>
          </x14:cfRule>
          <xm:sqref>D198</xm:sqref>
        </x14:conditionalFormatting>
        <x14:conditionalFormatting xmlns:xm="http://schemas.microsoft.com/office/excel/2006/main">
          <x14:cfRule type="dataBar" id="{8D8B1997-973B-4A91-A2A0-D5EAA84DCC8F}">
            <x14:dataBar minLength="0" maxLength="100" border="1" negativeBarBorderColorSameAsPositive="0">
              <x14:cfvo type="autoMin"/>
              <x14:cfvo type="autoMax"/>
              <x14:borderColor rgb="FFFF555A"/>
              <x14:negativeFillColor rgb="FFFF0000"/>
              <x14:negativeBorderColor rgb="FFFF0000"/>
              <x14:axisColor rgb="FF000000"/>
            </x14:dataBar>
          </x14:cfRule>
          <xm:sqref>D167:D174 E114:E166</xm:sqref>
        </x14:conditionalFormatting>
        <x14:conditionalFormatting xmlns:xm="http://schemas.microsoft.com/office/excel/2006/main">
          <x14:cfRule type="dataBar" id="{F7B57AC2-5FAB-467D-9335-B0D569F0D8AB}">
            <x14:dataBar minLength="0" maxLength="100" border="1" negativeBarBorderColorSameAsPositive="0">
              <x14:cfvo type="autoMin"/>
              <x14:cfvo type="autoMax"/>
              <x14:borderColor rgb="FFFF555A"/>
              <x14:negativeFillColor rgb="FFFF0000"/>
              <x14:negativeBorderColor rgb="FFFF0000"/>
              <x14:axisColor rgb="FF000000"/>
            </x14:dataBar>
          </x14:cfRule>
          <xm:sqref>E113</xm:sqref>
        </x14:conditionalFormatting>
        <x14:conditionalFormatting xmlns:xm="http://schemas.microsoft.com/office/excel/2006/main">
          <x14:cfRule type="dataBar" id="{AA846ADB-C681-4C0D-98C7-106DA39A024A}">
            <x14:dataBar minLength="0" maxLength="100" border="1" negativeBarBorderColorSameAsPositive="0">
              <x14:cfvo type="autoMin"/>
              <x14:cfvo type="autoMax"/>
              <x14:borderColor rgb="FFFF555A"/>
              <x14:negativeFillColor rgb="FFFF0000"/>
              <x14:negativeBorderColor rgb="FFFF0000"/>
              <x14:axisColor rgb="FF000000"/>
            </x14:dataBar>
          </x14:cfRule>
          <xm:sqref>D175</xm:sqref>
        </x14:conditionalFormatting>
        <x14:conditionalFormatting xmlns:xm="http://schemas.microsoft.com/office/excel/2006/main">
          <x14:cfRule type="dataBar" id="{444A3FB3-DCA4-41B1-ADCF-EA37DD9A04E2}">
            <x14:dataBar minLength="0" maxLength="100" border="1" negativeBarBorderColorSameAsPositive="0">
              <x14:cfvo type="autoMin"/>
              <x14:cfvo type="autoMax"/>
              <x14:borderColor rgb="FFFF555A"/>
              <x14:negativeFillColor rgb="FFFF0000"/>
              <x14:negativeBorderColor rgb="FFFF0000"/>
              <x14:axisColor rgb="FF000000"/>
            </x14:dataBar>
          </x14:cfRule>
          <xm:sqref>D176</xm:sqref>
        </x14:conditionalFormatting>
        <x14:conditionalFormatting xmlns:xm="http://schemas.microsoft.com/office/excel/2006/main">
          <x14:cfRule type="dataBar" id="{1C1C5FF3-E916-41F8-989B-44F3176B7D31}">
            <x14:dataBar minLength="0" maxLength="100" border="1" negativeBarBorderColorSameAsPositive="0">
              <x14:cfvo type="autoMin"/>
              <x14:cfvo type="autoMax"/>
              <x14:borderColor rgb="FFFF555A"/>
              <x14:negativeFillColor rgb="FFFF0000"/>
              <x14:negativeBorderColor rgb="FFFF0000"/>
              <x14:axisColor rgb="FF000000"/>
            </x14:dataBar>
          </x14:cfRule>
          <xm:sqref>D177</xm:sqref>
        </x14:conditionalFormatting>
        <x14:conditionalFormatting xmlns:xm="http://schemas.microsoft.com/office/excel/2006/main">
          <x14:cfRule type="dataBar" id="{E9449800-D8CB-40F0-B35E-D1EE6EAEA12D}">
            <x14:dataBar minLength="0" maxLength="100" border="1" negativeBarBorderColorSameAsPositive="0">
              <x14:cfvo type="autoMin"/>
              <x14:cfvo type="autoMax"/>
              <x14:borderColor rgb="FFFF555A"/>
              <x14:negativeFillColor rgb="FFFF0000"/>
              <x14:negativeBorderColor rgb="FFFF0000"/>
              <x14:axisColor rgb="FF000000"/>
            </x14:dataBar>
          </x14:cfRule>
          <xm:sqref>D178</xm:sqref>
        </x14:conditionalFormatting>
        <x14:conditionalFormatting xmlns:xm="http://schemas.microsoft.com/office/excel/2006/main">
          <x14:cfRule type="dataBar" id="{CBD6A6B0-19DF-4B87-8300-E16AC9827D65}">
            <x14:dataBar minLength="0" maxLength="100" border="1" negativeBarBorderColorSameAsPositive="0">
              <x14:cfvo type="autoMin"/>
              <x14:cfvo type="autoMax"/>
              <x14:borderColor rgb="FFFF555A"/>
              <x14:negativeFillColor rgb="FFFF0000"/>
              <x14:negativeBorderColor rgb="FFFF0000"/>
              <x14:axisColor rgb="FF000000"/>
            </x14:dataBar>
          </x14:cfRule>
          <xm:sqref>D197</xm:sqref>
        </x14:conditionalFormatting>
        <x14:conditionalFormatting xmlns:xm="http://schemas.microsoft.com/office/excel/2006/main">
          <x14:cfRule type="dataBar" id="{7AA83131-C6A1-43F6-ADB0-CC6E53D25081}">
            <x14:dataBar minLength="0" maxLength="100" border="1" negativeBarBorderColorSameAsPositive="0">
              <x14:cfvo type="autoMin"/>
              <x14:cfvo type="autoMax"/>
              <x14:borderColor rgb="FFFF555A"/>
              <x14:negativeFillColor rgb="FFFF0000"/>
              <x14:negativeBorderColor rgb="FFFF0000"/>
              <x14:axisColor rgb="FF000000"/>
            </x14:dataBar>
          </x14:cfRule>
          <xm:sqref>D196</xm:sqref>
        </x14:conditionalFormatting>
        <x14:conditionalFormatting xmlns:xm="http://schemas.microsoft.com/office/excel/2006/main">
          <x14:cfRule type="dataBar" id="{BC59B6EC-9A61-41EA-986F-A8E824D1B90E}">
            <x14:dataBar minLength="0" maxLength="100" border="1" negativeBarBorderColorSameAsPositive="0">
              <x14:cfvo type="autoMin"/>
              <x14:cfvo type="autoMax"/>
              <x14:borderColor rgb="FFFF555A"/>
              <x14:negativeFillColor rgb="FFFF0000"/>
              <x14:negativeBorderColor rgb="FFFF0000"/>
              <x14:axisColor rgb="FF000000"/>
            </x14:dataBar>
          </x14:cfRule>
          <xm:sqref>D195</xm:sqref>
        </x14:conditionalFormatting>
        <x14:conditionalFormatting xmlns:xm="http://schemas.microsoft.com/office/excel/2006/main">
          <x14:cfRule type="dataBar" id="{5454F7FF-21C3-4C43-9AB6-5F55F079F44B}">
            <x14:dataBar minLength="0" maxLength="100" border="1" negativeBarBorderColorSameAsPositive="0">
              <x14:cfvo type="autoMin"/>
              <x14:cfvo type="autoMax"/>
              <x14:borderColor rgb="FFFF555A"/>
              <x14:negativeFillColor rgb="FFFF0000"/>
              <x14:negativeBorderColor rgb="FFFF0000"/>
              <x14:axisColor rgb="FF000000"/>
            </x14:dataBar>
          </x14:cfRule>
          <xm:sqref>D194</xm:sqref>
        </x14:conditionalFormatting>
        <x14:conditionalFormatting xmlns:xm="http://schemas.microsoft.com/office/excel/2006/main">
          <x14:cfRule type="dataBar" id="{B6FB1CA5-7A34-4CAB-8DCB-1CEFB3E77705}">
            <x14:dataBar minLength="0" maxLength="100" border="1" negativeBarBorderColorSameAsPositive="0">
              <x14:cfvo type="autoMin"/>
              <x14:cfvo type="autoMax"/>
              <x14:borderColor rgb="FFFF555A"/>
              <x14:negativeFillColor rgb="FFFF0000"/>
              <x14:negativeBorderColor rgb="FFFF0000"/>
              <x14:axisColor rgb="FF000000"/>
            </x14:dataBar>
          </x14:cfRule>
          <xm:sqref>D193</xm:sqref>
        </x14:conditionalFormatting>
        <x14:conditionalFormatting xmlns:xm="http://schemas.microsoft.com/office/excel/2006/main">
          <x14:cfRule type="dataBar" id="{06E6164E-ED1A-4DB8-B7F5-BC2260405574}">
            <x14:dataBar minLength="0" maxLength="100" border="1" negativeBarBorderColorSameAsPositive="0">
              <x14:cfvo type="autoMin"/>
              <x14:cfvo type="autoMax"/>
              <x14:borderColor rgb="FFFF555A"/>
              <x14:negativeFillColor rgb="FFFF0000"/>
              <x14:negativeBorderColor rgb="FFFF0000"/>
              <x14:axisColor rgb="FF000000"/>
            </x14:dataBar>
          </x14:cfRule>
          <xm:sqref>D192</xm:sqref>
        </x14:conditionalFormatting>
        <x14:conditionalFormatting xmlns:xm="http://schemas.microsoft.com/office/excel/2006/main">
          <x14:cfRule type="dataBar" id="{5C444B3F-A391-4180-9427-5CAAAF8FAD9C}">
            <x14:dataBar minLength="0" maxLength="100" border="1" negativeBarBorderColorSameAsPositive="0">
              <x14:cfvo type="autoMin"/>
              <x14:cfvo type="autoMax"/>
              <x14:borderColor rgb="FFFF555A"/>
              <x14:negativeFillColor rgb="FFFF0000"/>
              <x14:negativeBorderColor rgb="FFFF0000"/>
              <x14:axisColor rgb="FF000000"/>
            </x14:dataBar>
          </x14:cfRule>
          <xm:sqref>D191</xm:sqref>
        </x14:conditionalFormatting>
        <x14:conditionalFormatting xmlns:xm="http://schemas.microsoft.com/office/excel/2006/main">
          <x14:cfRule type="dataBar" id="{207FC607-0A0E-4EAF-9814-085D805448FD}">
            <x14:dataBar minLength="0" maxLength="100" border="1" negativeBarBorderColorSameAsPositive="0">
              <x14:cfvo type="autoMin"/>
              <x14:cfvo type="autoMax"/>
              <x14:borderColor rgb="FFFF555A"/>
              <x14:negativeFillColor rgb="FFFF0000"/>
              <x14:negativeBorderColor rgb="FFFF0000"/>
              <x14:axisColor rgb="FF000000"/>
            </x14:dataBar>
          </x14:cfRule>
          <xm:sqref>D190</xm:sqref>
        </x14:conditionalFormatting>
        <x14:conditionalFormatting xmlns:xm="http://schemas.microsoft.com/office/excel/2006/main">
          <x14:cfRule type="dataBar" id="{162BD88B-41B8-4514-8A50-7CEE04D6CCEC}">
            <x14:dataBar minLength="0" maxLength="100" border="1" negativeBarBorderColorSameAsPositive="0">
              <x14:cfvo type="autoMin"/>
              <x14:cfvo type="autoMax"/>
              <x14:borderColor rgb="FFFF555A"/>
              <x14:negativeFillColor rgb="FFFF0000"/>
              <x14:negativeBorderColor rgb="FFFF0000"/>
              <x14:axisColor rgb="FF000000"/>
            </x14:dataBar>
          </x14:cfRule>
          <xm:sqref>D189</xm:sqref>
        </x14:conditionalFormatting>
        <x14:conditionalFormatting xmlns:xm="http://schemas.microsoft.com/office/excel/2006/main">
          <x14:cfRule type="dataBar" id="{D40DB43B-7184-4D0F-B29E-6D54F8FEF6B2}">
            <x14:dataBar minLength="0" maxLength="100" border="1" negativeBarBorderColorSameAsPositive="0">
              <x14:cfvo type="autoMin"/>
              <x14:cfvo type="autoMax"/>
              <x14:borderColor rgb="FFFF555A"/>
              <x14:negativeFillColor rgb="FFFF0000"/>
              <x14:negativeBorderColor rgb="FFFF0000"/>
              <x14:axisColor rgb="FF000000"/>
            </x14:dataBar>
          </x14:cfRule>
          <xm:sqref>D188</xm:sqref>
        </x14:conditionalFormatting>
        <x14:conditionalFormatting xmlns:xm="http://schemas.microsoft.com/office/excel/2006/main">
          <x14:cfRule type="dataBar" id="{E6C3884B-B40D-40E2-973D-B2FDD5F540C5}">
            <x14:dataBar minLength="0" maxLength="100" border="1" negativeBarBorderColorSameAsPositive="0">
              <x14:cfvo type="autoMin"/>
              <x14:cfvo type="autoMax"/>
              <x14:borderColor rgb="FFFF555A"/>
              <x14:negativeFillColor rgb="FFFF0000"/>
              <x14:negativeBorderColor rgb="FFFF0000"/>
              <x14:axisColor rgb="FF000000"/>
            </x14:dataBar>
          </x14:cfRule>
          <xm:sqref>D187</xm:sqref>
        </x14:conditionalFormatting>
        <x14:conditionalFormatting xmlns:xm="http://schemas.microsoft.com/office/excel/2006/main">
          <x14:cfRule type="dataBar" id="{808659A6-8E45-4F0D-A2C3-651F63A1F56D}">
            <x14:dataBar minLength="0" maxLength="100" border="1" negativeBarBorderColorSameAsPositive="0">
              <x14:cfvo type="autoMin"/>
              <x14:cfvo type="autoMax"/>
              <x14:borderColor rgb="FFFF555A"/>
              <x14:negativeFillColor rgb="FFFF0000"/>
              <x14:negativeBorderColor rgb="FFFF0000"/>
              <x14:axisColor rgb="FF000000"/>
            </x14:dataBar>
          </x14:cfRule>
          <xm:sqref>D186</xm:sqref>
        </x14:conditionalFormatting>
        <x14:conditionalFormatting xmlns:xm="http://schemas.microsoft.com/office/excel/2006/main">
          <x14:cfRule type="dataBar" id="{2E155009-5ECA-4D57-A491-2A8602CF92D0}">
            <x14:dataBar minLength="0" maxLength="100" border="1" negativeBarBorderColorSameAsPositive="0">
              <x14:cfvo type="autoMin"/>
              <x14:cfvo type="autoMax"/>
              <x14:borderColor rgb="FFFF555A"/>
              <x14:negativeFillColor rgb="FFFF0000"/>
              <x14:negativeBorderColor rgb="FFFF0000"/>
              <x14:axisColor rgb="FF000000"/>
            </x14:dataBar>
          </x14:cfRule>
          <xm:sqref>D185</xm:sqref>
        </x14:conditionalFormatting>
        <x14:conditionalFormatting xmlns:xm="http://schemas.microsoft.com/office/excel/2006/main">
          <x14:cfRule type="dataBar" id="{91E5F895-1C3D-453C-82B6-FCE633782BA3}">
            <x14:dataBar minLength="0" maxLength="100" border="1" negativeBarBorderColorSameAsPositive="0">
              <x14:cfvo type="autoMin"/>
              <x14:cfvo type="autoMax"/>
              <x14:borderColor rgb="FFFF555A"/>
              <x14:negativeFillColor rgb="FFFF0000"/>
              <x14:negativeBorderColor rgb="FFFF0000"/>
              <x14:axisColor rgb="FF000000"/>
            </x14:dataBar>
          </x14:cfRule>
          <xm:sqref>D184</xm:sqref>
        </x14:conditionalFormatting>
        <x14:conditionalFormatting xmlns:xm="http://schemas.microsoft.com/office/excel/2006/main">
          <x14:cfRule type="dataBar" id="{97FB07E3-7D76-4DE3-90E7-0D3AEF4382B0}">
            <x14:dataBar minLength="0" maxLength="100" border="1" negativeBarBorderColorSameAsPositive="0">
              <x14:cfvo type="autoMin"/>
              <x14:cfvo type="autoMax"/>
              <x14:borderColor rgb="FFFF555A"/>
              <x14:negativeFillColor rgb="FFFF0000"/>
              <x14:negativeBorderColor rgb="FFFF0000"/>
              <x14:axisColor rgb="FF000000"/>
            </x14:dataBar>
          </x14:cfRule>
          <xm:sqref>D183</xm:sqref>
        </x14:conditionalFormatting>
        <x14:conditionalFormatting xmlns:xm="http://schemas.microsoft.com/office/excel/2006/main">
          <x14:cfRule type="dataBar" id="{2ED31307-322F-4D23-86BC-7311202E9E00}">
            <x14:dataBar minLength="0" maxLength="100" border="1" negativeBarBorderColorSameAsPositive="0">
              <x14:cfvo type="autoMin"/>
              <x14:cfvo type="autoMax"/>
              <x14:borderColor rgb="FFFF555A"/>
              <x14:negativeFillColor rgb="FFFF0000"/>
              <x14:negativeBorderColor rgb="FFFF0000"/>
              <x14:axisColor rgb="FF000000"/>
            </x14:dataBar>
          </x14:cfRule>
          <xm:sqref>D182</xm:sqref>
        </x14:conditionalFormatting>
        <x14:conditionalFormatting xmlns:xm="http://schemas.microsoft.com/office/excel/2006/main">
          <x14:cfRule type="dataBar" id="{A013F6FD-0B0C-43D3-806C-0BF38E49AE4B}">
            <x14:dataBar minLength="0" maxLength="100" border="1" negativeBarBorderColorSameAsPositive="0">
              <x14:cfvo type="autoMin"/>
              <x14:cfvo type="autoMax"/>
              <x14:borderColor rgb="FFFF555A"/>
              <x14:negativeFillColor rgb="FFFF0000"/>
              <x14:negativeBorderColor rgb="FFFF0000"/>
              <x14:axisColor rgb="FF000000"/>
            </x14:dataBar>
          </x14:cfRule>
          <xm:sqref>D181</xm:sqref>
        </x14:conditionalFormatting>
        <x14:conditionalFormatting xmlns:xm="http://schemas.microsoft.com/office/excel/2006/main">
          <x14:cfRule type="dataBar" id="{FCE69D60-FE26-4921-8CF5-656B85A91C7D}">
            <x14:dataBar minLength="0" maxLength="100" border="1" negativeBarBorderColorSameAsPositive="0">
              <x14:cfvo type="autoMin"/>
              <x14:cfvo type="autoMax"/>
              <x14:borderColor rgb="FFFF555A"/>
              <x14:negativeFillColor rgb="FFFF0000"/>
              <x14:negativeBorderColor rgb="FFFF0000"/>
              <x14:axisColor rgb="FF000000"/>
            </x14:dataBar>
          </x14:cfRule>
          <xm:sqref>D180</xm:sqref>
        </x14:conditionalFormatting>
        <x14:conditionalFormatting xmlns:xm="http://schemas.microsoft.com/office/excel/2006/main">
          <x14:cfRule type="dataBar" id="{63877378-5632-4990-9DB7-304357855CA5}">
            <x14:dataBar minLength="0" maxLength="100" border="1" negativeBarBorderColorSameAsPositive="0">
              <x14:cfvo type="autoMin"/>
              <x14:cfvo type="autoMax"/>
              <x14:borderColor rgb="FFFF555A"/>
              <x14:negativeFillColor rgb="FFFF0000"/>
              <x14:negativeBorderColor rgb="FFFF0000"/>
              <x14:axisColor rgb="FF000000"/>
            </x14:dataBar>
          </x14:cfRule>
          <xm:sqref>D179</xm:sqref>
        </x14:conditionalFormatting>
        <x14:conditionalFormatting xmlns:xm="http://schemas.microsoft.com/office/excel/2006/main">
          <x14:cfRule type="dataBar" id="{05753ADB-32CE-4BD1-8F6A-5A82016D2142}">
            <x14:dataBar minLength="0" maxLength="100" border="1" negativeBarBorderColorSameAsPositive="0">
              <x14:cfvo type="autoMin"/>
              <x14:cfvo type="autoMax"/>
              <x14:borderColor rgb="FFFF555A"/>
              <x14:negativeFillColor rgb="FFFF0000"/>
              <x14:negativeBorderColor rgb="FFFF0000"/>
              <x14:axisColor rgb="FF000000"/>
            </x14:dataBar>
          </x14:cfRule>
          <xm:sqref>E198</xm:sqref>
        </x14:conditionalFormatting>
        <x14:conditionalFormatting xmlns:xm="http://schemas.microsoft.com/office/excel/2006/main">
          <x14:cfRule type="dataBar" id="{AB7ED735-28FD-4C66-9100-61FAFEBA1C3B}">
            <x14:dataBar minLength="0" maxLength="100" border="1" negativeBarBorderColorSameAsPositive="0">
              <x14:cfvo type="autoMin"/>
              <x14:cfvo type="autoMax"/>
              <x14:borderColor rgb="FFFF555A"/>
              <x14:negativeFillColor rgb="FFFF0000"/>
              <x14:negativeBorderColor rgb="FFFF0000"/>
              <x14:axisColor rgb="FF000000"/>
            </x14:dataBar>
          </x14:cfRule>
          <xm:sqref>E167:E174</xm:sqref>
        </x14:conditionalFormatting>
        <x14:conditionalFormatting xmlns:xm="http://schemas.microsoft.com/office/excel/2006/main">
          <x14:cfRule type="dataBar" id="{E7D84F9F-3DA0-4487-9174-0959B25C6838}">
            <x14:dataBar minLength="0" maxLength="100" border="1" negativeBarBorderColorSameAsPositive="0">
              <x14:cfvo type="autoMin"/>
              <x14:cfvo type="autoMax"/>
              <x14:borderColor rgb="FFFF555A"/>
              <x14:negativeFillColor rgb="FFFF0000"/>
              <x14:negativeBorderColor rgb="FFFF0000"/>
              <x14:axisColor rgb="FF000000"/>
            </x14:dataBar>
          </x14:cfRule>
          <xm:sqref>E175</xm:sqref>
        </x14:conditionalFormatting>
        <x14:conditionalFormatting xmlns:xm="http://schemas.microsoft.com/office/excel/2006/main">
          <x14:cfRule type="dataBar" id="{FBDD391E-5B8F-468E-BED5-5F2D6904D05F}">
            <x14:dataBar minLength="0" maxLength="100" border="1" negativeBarBorderColorSameAsPositive="0">
              <x14:cfvo type="autoMin"/>
              <x14:cfvo type="autoMax"/>
              <x14:borderColor rgb="FFFF555A"/>
              <x14:negativeFillColor rgb="FFFF0000"/>
              <x14:negativeBorderColor rgb="FFFF0000"/>
              <x14:axisColor rgb="FF000000"/>
            </x14:dataBar>
          </x14:cfRule>
          <xm:sqref>E176</xm:sqref>
        </x14:conditionalFormatting>
        <x14:conditionalFormatting xmlns:xm="http://schemas.microsoft.com/office/excel/2006/main">
          <x14:cfRule type="dataBar" id="{76933375-3D30-4B84-BAC1-50E9F6A84C2D}">
            <x14:dataBar minLength="0" maxLength="100" border="1" negativeBarBorderColorSameAsPositive="0">
              <x14:cfvo type="autoMin"/>
              <x14:cfvo type="autoMax"/>
              <x14:borderColor rgb="FFFF555A"/>
              <x14:negativeFillColor rgb="FFFF0000"/>
              <x14:negativeBorderColor rgb="FFFF0000"/>
              <x14:axisColor rgb="FF000000"/>
            </x14:dataBar>
          </x14:cfRule>
          <xm:sqref>E177</xm:sqref>
        </x14:conditionalFormatting>
        <x14:conditionalFormatting xmlns:xm="http://schemas.microsoft.com/office/excel/2006/main">
          <x14:cfRule type="dataBar" id="{664212FA-AB1D-414A-B383-CD2444871842}">
            <x14:dataBar minLength="0" maxLength="100" border="1" negativeBarBorderColorSameAsPositive="0">
              <x14:cfvo type="autoMin"/>
              <x14:cfvo type="autoMax"/>
              <x14:borderColor rgb="FFFF555A"/>
              <x14:negativeFillColor rgb="FFFF0000"/>
              <x14:negativeBorderColor rgb="FFFF0000"/>
              <x14:axisColor rgb="FF000000"/>
            </x14:dataBar>
          </x14:cfRule>
          <xm:sqref>E178</xm:sqref>
        </x14:conditionalFormatting>
        <x14:conditionalFormatting xmlns:xm="http://schemas.microsoft.com/office/excel/2006/main">
          <x14:cfRule type="dataBar" id="{67131AE0-477A-4556-812F-1E03C53EB84B}">
            <x14:dataBar minLength="0" maxLength="100" border="1" negativeBarBorderColorSameAsPositive="0">
              <x14:cfvo type="autoMin"/>
              <x14:cfvo type="autoMax"/>
              <x14:borderColor rgb="FFFF555A"/>
              <x14:negativeFillColor rgb="FFFF0000"/>
              <x14:negativeBorderColor rgb="FFFF0000"/>
              <x14:axisColor rgb="FF000000"/>
            </x14:dataBar>
          </x14:cfRule>
          <xm:sqref>E197</xm:sqref>
        </x14:conditionalFormatting>
        <x14:conditionalFormatting xmlns:xm="http://schemas.microsoft.com/office/excel/2006/main">
          <x14:cfRule type="dataBar" id="{DCA66ACC-C31B-474E-984D-0783C01E3641}">
            <x14:dataBar minLength="0" maxLength="100" border="1" negativeBarBorderColorSameAsPositive="0">
              <x14:cfvo type="autoMin"/>
              <x14:cfvo type="autoMax"/>
              <x14:borderColor rgb="FFFF555A"/>
              <x14:negativeFillColor rgb="FFFF0000"/>
              <x14:negativeBorderColor rgb="FFFF0000"/>
              <x14:axisColor rgb="FF000000"/>
            </x14:dataBar>
          </x14:cfRule>
          <xm:sqref>E196</xm:sqref>
        </x14:conditionalFormatting>
        <x14:conditionalFormatting xmlns:xm="http://schemas.microsoft.com/office/excel/2006/main">
          <x14:cfRule type="dataBar" id="{E1D001DD-8B82-4B11-BB1D-B3F3B069C538}">
            <x14:dataBar minLength="0" maxLength="100" border="1" negativeBarBorderColorSameAsPositive="0">
              <x14:cfvo type="autoMin"/>
              <x14:cfvo type="autoMax"/>
              <x14:borderColor rgb="FFFF555A"/>
              <x14:negativeFillColor rgb="FFFF0000"/>
              <x14:negativeBorderColor rgb="FFFF0000"/>
              <x14:axisColor rgb="FF000000"/>
            </x14:dataBar>
          </x14:cfRule>
          <xm:sqref>E195</xm:sqref>
        </x14:conditionalFormatting>
        <x14:conditionalFormatting xmlns:xm="http://schemas.microsoft.com/office/excel/2006/main">
          <x14:cfRule type="dataBar" id="{B7AAE7E6-4387-4EA1-B4BE-289FD0BE2713}">
            <x14:dataBar minLength="0" maxLength="100" border="1" negativeBarBorderColorSameAsPositive="0">
              <x14:cfvo type="autoMin"/>
              <x14:cfvo type="autoMax"/>
              <x14:borderColor rgb="FFFF555A"/>
              <x14:negativeFillColor rgb="FFFF0000"/>
              <x14:negativeBorderColor rgb="FFFF0000"/>
              <x14:axisColor rgb="FF000000"/>
            </x14:dataBar>
          </x14:cfRule>
          <xm:sqref>E194</xm:sqref>
        </x14:conditionalFormatting>
        <x14:conditionalFormatting xmlns:xm="http://schemas.microsoft.com/office/excel/2006/main">
          <x14:cfRule type="dataBar" id="{7AC45143-C5E0-486B-AC2B-F46EE1BF1B52}">
            <x14:dataBar minLength="0" maxLength="100" border="1" negativeBarBorderColorSameAsPositive="0">
              <x14:cfvo type="autoMin"/>
              <x14:cfvo type="autoMax"/>
              <x14:borderColor rgb="FFFF555A"/>
              <x14:negativeFillColor rgb="FFFF0000"/>
              <x14:negativeBorderColor rgb="FFFF0000"/>
              <x14:axisColor rgb="FF000000"/>
            </x14:dataBar>
          </x14:cfRule>
          <xm:sqref>E193</xm:sqref>
        </x14:conditionalFormatting>
        <x14:conditionalFormatting xmlns:xm="http://schemas.microsoft.com/office/excel/2006/main">
          <x14:cfRule type="dataBar" id="{E83B7A99-09BD-438B-98B6-AF9807154A4C}">
            <x14:dataBar minLength="0" maxLength="100" border="1" negativeBarBorderColorSameAsPositive="0">
              <x14:cfvo type="autoMin"/>
              <x14:cfvo type="autoMax"/>
              <x14:borderColor rgb="FFFF555A"/>
              <x14:negativeFillColor rgb="FFFF0000"/>
              <x14:negativeBorderColor rgb="FFFF0000"/>
              <x14:axisColor rgb="FF000000"/>
            </x14:dataBar>
          </x14:cfRule>
          <xm:sqref>E192</xm:sqref>
        </x14:conditionalFormatting>
        <x14:conditionalFormatting xmlns:xm="http://schemas.microsoft.com/office/excel/2006/main">
          <x14:cfRule type="dataBar" id="{F495FCDC-38C9-49F4-B133-3E1934D8CE45}">
            <x14:dataBar minLength="0" maxLength="100" border="1" negativeBarBorderColorSameAsPositive="0">
              <x14:cfvo type="autoMin"/>
              <x14:cfvo type="autoMax"/>
              <x14:borderColor rgb="FFFF555A"/>
              <x14:negativeFillColor rgb="FFFF0000"/>
              <x14:negativeBorderColor rgb="FFFF0000"/>
              <x14:axisColor rgb="FF000000"/>
            </x14:dataBar>
          </x14:cfRule>
          <xm:sqref>E191</xm:sqref>
        </x14:conditionalFormatting>
        <x14:conditionalFormatting xmlns:xm="http://schemas.microsoft.com/office/excel/2006/main">
          <x14:cfRule type="dataBar" id="{312FA6E9-C245-408C-9AE9-C37F4EC734E0}">
            <x14:dataBar minLength="0" maxLength="100" border="1" negativeBarBorderColorSameAsPositive="0">
              <x14:cfvo type="autoMin"/>
              <x14:cfvo type="autoMax"/>
              <x14:borderColor rgb="FFFF555A"/>
              <x14:negativeFillColor rgb="FFFF0000"/>
              <x14:negativeBorderColor rgb="FFFF0000"/>
              <x14:axisColor rgb="FF000000"/>
            </x14:dataBar>
          </x14:cfRule>
          <xm:sqref>E190</xm:sqref>
        </x14:conditionalFormatting>
        <x14:conditionalFormatting xmlns:xm="http://schemas.microsoft.com/office/excel/2006/main">
          <x14:cfRule type="dataBar" id="{09EF6E9B-DE8F-4E54-A6C2-5E063D3CB802}">
            <x14:dataBar minLength="0" maxLength="100" border="1" negativeBarBorderColorSameAsPositive="0">
              <x14:cfvo type="autoMin"/>
              <x14:cfvo type="autoMax"/>
              <x14:borderColor rgb="FFFF555A"/>
              <x14:negativeFillColor rgb="FFFF0000"/>
              <x14:negativeBorderColor rgb="FFFF0000"/>
              <x14:axisColor rgb="FF000000"/>
            </x14:dataBar>
          </x14:cfRule>
          <xm:sqref>E189</xm:sqref>
        </x14:conditionalFormatting>
        <x14:conditionalFormatting xmlns:xm="http://schemas.microsoft.com/office/excel/2006/main">
          <x14:cfRule type="dataBar" id="{D769CE7A-4464-423B-BE46-D44AAD42BE7E}">
            <x14:dataBar minLength="0" maxLength="100" border="1" negativeBarBorderColorSameAsPositive="0">
              <x14:cfvo type="autoMin"/>
              <x14:cfvo type="autoMax"/>
              <x14:borderColor rgb="FFFF555A"/>
              <x14:negativeFillColor rgb="FFFF0000"/>
              <x14:negativeBorderColor rgb="FFFF0000"/>
              <x14:axisColor rgb="FF000000"/>
            </x14:dataBar>
          </x14:cfRule>
          <xm:sqref>E188</xm:sqref>
        </x14:conditionalFormatting>
        <x14:conditionalFormatting xmlns:xm="http://schemas.microsoft.com/office/excel/2006/main">
          <x14:cfRule type="dataBar" id="{2478A258-CDF6-406B-AA1B-65BA5471E9E0}">
            <x14:dataBar minLength="0" maxLength="100" border="1" negativeBarBorderColorSameAsPositive="0">
              <x14:cfvo type="autoMin"/>
              <x14:cfvo type="autoMax"/>
              <x14:borderColor rgb="FFFF555A"/>
              <x14:negativeFillColor rgb="FFFF0000"/>
              <x14:negativeBorderColor rgb="FFFF0000"/>
              <x14:axisColor rgb="FF000000"/>
            </x14:dataBar>
          </x14:cfRule>
          <xm:sqref>E187</xm:sqref>
        </x14:conditionalFormatting>
        <x14:conditionalFormatting xmlns:xm="http://schemas.microsoft.com/office/excel/2006/main">
          <x14:cfRule type="dataBar" id="{1AFB080C-BB3E-42B3-91E2-8E7EA1351D42}">
            <x14:dataBar minLength="0" maxLength="100" border="1" negativeBarBorderColorSameAsPositive="0">
              <x14:cfvo type="autoMin"/>
              <x14:cfvo type="autoMax"/>
              <x14:borderColor rgb="FFFF555A"/>
              <x14:negativeFillColor rgb="FFFF0000"/>
              <x14:negativeBorderColor rgb="FFFF0000"/>
              <x14:axisColor rgb="FF000000"/>
            </x14:dataBar>
          </x14:cfRule>
          <xm:sqref>E186</xm:sqref>
        </x14:conditionalFormatting>
        <x14:conditionalFormatting xmlns:xm="http://schemas.microsoft.com/office/excel/2006/main">
          <x14:cfRule type="dataBar" id="{F5CAEDD1-9B6D-437A-8A0C-F693DFFF8845}">
            <x14:dataBar minLength="0" maxLength="100" border="1" negativeBarBorderColorSameAsPositive="0">
              <x14:cfvo type="autoMin"/>
              <x14:cfvo type="autoMax"/>
              <x14:borderColor rgb="FFFF555A"/>
              <x14:negativeFillColor rgb="FFFF0000"/>
              <x14:negativeBorderColor rgb="FFFF0000"/>
              <x14:axisColor rgb="FF000000"/>
            </x14:dataBar>
          </x14:cfRule>
          <xm:sqref>E185</xm:sqref>
        </x14:conditionalFormatting>
        <x14:conditionalFormatting xmlns:xm="http://schemas.microsoft.com/office/excel/2006/main">
          <x14:cfRule type="dataBar" id="{972BC8A6-EF02-4792-92C9-534ED9CABED1}">
            <x14:dataBar minLength="0" maxLength="100" border="1" negativeBarBorderColorSameAsPositive="0">
              <x14:cfvo type="autoMin"/>
              <x14:cfvo type="autoMax"/>
              <x14:borderColor rgb="FFFF555A"/>
              <x14:negativeFillColor rgb="FFFF0000"/>
              <x14:negativeBorderColor rgb="FFFF0000"/>
              <x14:axisColor rgb="FF000000"/>
            </x14:dataBar>
          </x14:cfRule>
          <xm:sqref>E184</xm:sqref>
        </x14:conditionalFormatting>
        <x14:conditionalFormatting xmlns:xm="http://schemas.microsoft.com/office/excel/2006/main">
          <x14:cfRule type="dataBar" id="{2C2CFDE7-DF9B-4D0D-A1A7-30AD171383BB}">
            <x14:dataBar minLength="0" maxLength="100" border="1" negativeBarBorderColorSameAsPositive="0">
              <x14:cfvo type="autoMin"/>
              <x14:cfvo type="autoMax"/>
              <x14:borderColor rgb="FFFF555A"/>
              <x14:negativeFillColor rgb="FFFF0000"/>
              <x14:negativeBorderColor rgb="FFFF0000"/>
              <x14:axisColor rgb="FF000000"/>
            </x14:dataBar>
          </x14:cfRule>
          <xm:sqref>E183</xm:sqref>
        </x14:conditionalFormatting>
        <x14:conditionalFormatting xmlns:xm="http://schemas.microsoft.com/office/excel/2006/main">
          <x14:cfRule type="dataBar" id="{8536D5B3-4487-4C35-8444-978961C0BF76}">
            <x14:dataBar minLength="0" maxLength="100" border="1" negativeBarBorderColorSameAsPositive="0">
              <x14:cfvo type="autoMin"/>
              <x14:cfvo type="autoMax"/>
              <x14:borderColor rgb="FFFF555A"/>
              <x14:negativeFillColor rgb="FFFF0000"/>
              <x14:negativeBorderColor rgb="FFFF0000"/>
              <x14:axisColor rgb="FF000000"/>
            </x14:dataBar>
          </x14:cfRule>
          <xm:sqref>E182</xm:sqref>
        </x14:conditionalFormatting>
        <x14:conditionalFormatting xmlns:xm="http://schemas.microsoft.com/office/excel/2006/main">
          <x14:cfRule type="dataBar" id="{02250EA5-6FD2-47A3-AA31-BF8DD0FAC473}">
            <x14:dataBar minLength="0" maxLength="100" border="1" negativeBarBorderColorSameAsPositive="0">
              <x14:cfvo type="autoMin"/>
              <x14:cfvo type="autoMax"/>
              <x14:borderColor rgb="FFFF555A"/>
              <x14:negativeFillColor rgb="FFFF0000"/>
              <x14:negativeBorderColor rgb="FFFF0000"/>
              <x14:axisColor rgb="FF000000"/>
            </x14:dataBar>
          </x14:cfRule>
          <xm:sqref>E181</xm:sqref>
        </x14:conditionalFormatting>
        <x14:conditionalFormatting xmlns:xm="http://schemas.microsoft.com/office/excel/2006/main">
          <x14:cfRule type="dataBar" id="{37334317-5530-49DC-85BD-AD73F704F456}">
            <x14:dataBar minLength="0" maxLength="100" border="1" negativeBarBorderColorSameAsPositive="0">
              <x14:cfvo type="autoMin"/>
              <x14:cfvo type="autoMax"/>
              <x14:borderColor rgb="FFFF555A"/>
              <x14:negativeFillColor rgb="FFFF0000"/>
              <x14:negativeBorderColor rgb="FFFF0000"/>
              <x14:axisColor rgb="FF000000"/>
            </x14:dataBar>
          </x14:cfRule>
          <xm:sqref>E180</xm:sqref>
        </x14:conditionalFormatting>
        <x14:conditionalFormatting xmlns:xm="http://schemas.microsoft.com/office/excel/2006/main">
          <x14:cfRule type="dataBar" id="{D9241248-DF95-4C50-B0C7-D0111F451DD5}">
            <x14:dataBar minLength="0" maxLength="100" border="1" negativeBarBorderColorSameAsPositive="0">
              <x14:cfvo type="autoMin"/>
              <x14:cfvo type="autoMax"/>
              <x14:borderColor rgb="FFFF555A"/>
              <x14:negativeFillColor rgb="FFFF0000"/>
              <x14:negativeBorderColor rgb="FFFF0000"/>
              <x14:axisColor rgb="FF000000"/>
            </x14:dataBar>
          </x14:cfRule>
          <xm:sqref>E179</xm:sqref>
        </x14:conditionalFormatting>
        <x14:conditionalFormatting xmlns:xm="http://schemas.microsoft.com/office/excel/2006/main">
          <x14:cfRule type="dataBar" id="{6DEF2A87-0655-4CDA-A182-3F00DC30198E}">
            <x14:dataBar minLength="0" maxLength="100" border="1" negativeBarBorderColorSameAsPositive="0">
              <x14:cfvo type="autoMin"/>
              <x14:cfvo type="autoMax"/>
              <x14:borderColor rgb="FFFF555A"/>
              <x14:negativeFillColor rgb="FFFF0000"/>
              <x14:negativeBorderColor rgb="FFFF0000"/>
              <x14:axisColor rgb="FF000000"/>
            </x14:dataBar>
          </x14:cfRule>
          <xm:sqref>D101:D102</xm:sqref>
        </x14:conditionalFormatting>
        <x14:conditionalFormatting xmlns:xm="http://schemas.microsoft.com/office/excel/2006/main">
          <x14:cfRule type="dataBar" id="{5A62B750-280C-4AEF-AE47-EE5A2338AF3B}">
            <x14:dataBar minLength="0" maxLength="100" border="1" negativeBarBorderColorSameAsPositive="0">
              <x14:cfvo type="autoMin"/>
              <x14:cfvo type="autoMax"/>
              <x14:borderColor rgb="FFFF555A"/>
              <x14:negativeFillColor rgb="FFFF0000"/>
              <x14:negativeBorderColor rgb="FFFF0000"/>
              <x14:axisColor rgb="FF000000"/>
            </x14:dataBar>
          </x14:cfRule>
          <xm:sqref>D100</xm:sqref>
        </x14:conditionalFormatting>
        <x14:conditionalFormatting xmlns:xm="http://schemas.microsoft.com/office/excel/2006/main">
          <x14:cfRule type="dataBar" id="{DE26E0DF-B529-416E-B669-A80B6E95F0D1}">
            <x14:dataBar minLength="0" maxLength="100" border="1" negativeBarBorderColorSameAsPositive="0">
              <x14:cfvo type="autoMin"/>
              <x14:cfvo type="autoMax"/>
              <x14:borderColor rgb="FFFF555A"/>
              <x14:negativeFillColor rgb="FFFF0000"/>
              <x14:negativeBorderColor rgb="FFFF0000"/>
              <x14:axisColor rgb="FF000000"/>
            </x14:dataBar>
          </x14:cfRule>
          <xm:sqref>D99</xm:sqref>
        </x14:conditionalFormatting>
        <x14:conditionalFormatting xmlns:xm="http://schemas.microsoft.com/office/excel/2006/main">
          <x14:cfRule type="dataBar" id="{521812CE-A9F0-4E33-8A1B-C35325A2176D}">
            <x14:dataBar minLength="0" maxLength="100" border="1" negativeBarBorderColorSameAsPositive="0">
              <x14:cfvo type="autoMin"/>
              <x14:cfvo type="autoMax"/>
              <x14:borderColor rgb="FFFF555A"/>
              <x14:negativeFillColor rgb="FFFF0000"/>
              <x14:negativeBorderColor rgb="FFFF0000"/>
              <x14:axisColor rgb="FF000000"/>
            </x14:dataBar>
          </x14:cfRule>
          <xm:sqref>E101:E102</xm:sqref>
        </x14:conditionalFormatting>
        <x14:conditionalFormatting xmlns:xm="http://schemas.microsoft.com/office/excel/2006/main">
          <x14:cfRule type="dataBar" id="{05A7AEA8-A618-4BE2-836E-9C07ECFC884E}">
            <x14:dataBar minLength="0" maxLength="100" border="1" negativeBarBorderColorSameAsPositive="0">
              <x14:cfvo type="autoMin"/>
              <x14:cfvo type="autoMax"/>
              <x14:borderColor rgb="FFFF555A"/>
              <x14:negativeFillColor rgb="FFFF0000"/>
              <x14:negativeBorderColor rgb="FFFF0000"/>
              <x14:axisColor rgb="FF000000"/>
            </x14:dataBar>
          </x14:cfRule>
          <xm:sqref>E100</xm:sqref>
        </x14:conditionalFormatting>
        <x14:conditionalFormatting xmlns:xm="http://schemas.microsoft.com/office/excel/2006/main">
          <x14:cfRule type="dataBar" id="{46A0160E-4790-4785-A4C4-A72141BF50E9}">
            <x14:dataBar minLength="0" maxLength="100" border="1" negativeBarBorderColorSameAsPositive="0">
              <x14:cfvo type="autoMin"/>
              <x14:cfvo type="autoMax"/>
              <x14:borderColor rgb="FFFF555A"/>
              <x14:negativeFillColor rgb="FFFF0000"/>
              <x14:negativeBorderColor rgb="FFFF0000"/>
              <x14:axisColor rgb="FF000000"/>
            </x14:dataBar>
          </x14:cfRule>
          <xm:sqref>E99</xm:sqref>
        </x14:conditionalFormatting>
        <x14:conditionalFormatting xmlns:xm="http://schemas.microsoft.com/office/excel/2006/main">
          <x14:cfRule type="dataBar" id="{275F6464-BCF8-44A7-882A-1563535FDF0E}">
            <x14:dataBar minLength="0" maxLength="100" border="1" negativeBarBorderColorSameAsPositive="0">
              <x14:cfvo type="autoMin"/>
              <x14:cfvo type="autoMax"/>
              <x14:borderColor rgb="FFFF555A"/>
              <x14:negativeFillColor rgb="FFFF0000"/>
              <x14:negativeBorderColor rgb="FFFF0000"/>
              <x14:axisColor rgb="FF000000"/>
            </x14:dataBar>
          </x14:cfRule>
          <xm:sqref>D12:E98</xm:sqref>
        </x14:conditionalFormatting>
        <x14:conditionalFormatting xmlns:xm="http://schemas.microsoft.com/office/excel/2006/main">
          <x14:cfRule type="dataBar" id="{7D59A405-C7B6-4D1E-8B7C-15F5B1790F60}">
            <x14:dataBar minLength="0" maxLength="100" border="1" negativeBarBorderColorSameAsPositive="0">
              <x14:cfvo type="autoMin"/>
              <x14:cfvo type="autoMax"/>
              <x14:borderColor rgb="FFFF555A"/>
              <x14:negativeFillColor rgb="FFFF0000"/>
              <x14:negativeBorderColor rgb="FFFF0000"/>
              <x14:axisColor rgb="FF000000"/>
            </x14:dataBar>
          </x14:cfRule>
          <xm:sqref>D12:D98</xm:sqref>
        </x14:conditionalFormatting>
        <x14:conditionalFormatting xmlns:xm="http://schemas.microsoft.com/office/excel/2006/main">
          <x14:cfRule type="dataBar" id="{20A0164F-5FD8-44D5-9A82-DCA3A5EFE857}">
            <x14:dataBar minLength="0" maxLength="100" border="1" negativeBarBorderColorSameAsPositive="0">
              <x14:cfvo type="autoMin"/>
              <x14:cfvo type="autoMax"/>
              <x14:borderColor rgb="FFFF555A"/>
              <x14:negativeFillColor rgb="FFFF0000"/>
              <x14:negativeBorderColor rgb="FFFF0000"/>
              <x14:axisColor rgb="FF000000"/>
            </x14:dataBar>
          </x14:cfRule>
          <xm:sqref>D113:D166</xm:sqref>
        </x14:conditionalFormatting>
        <x14:conditionalFormatting xmlns:xm="http://schemas.microsoft.com/office/excel/2006/main">
          <x14:cfRule type="dataBar" id="{748EB39B-3E8C-4F72-8D4F-952333F814F4}">
            <x14:dataBar minLength="0" maxLength="100" border="1" negativeBarBorderColorSameAsPositive="0">
              <x14:cfvo type="autoMin"/>
              <x14:cfvo type="autoMax"/>
              <x14:borderColor rgb="FFFF555A"/>
              <x14:negativeFillColor rgb="FFFF0000"/>
              <x14:negativeBorderColor rgb="FFFF0000"/>
              <x14:axisColor rgb="FF000000"/>
            </x14:dataBar>
          </x14:cfRule>
          <xm:sqref>D13:D98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7">
    <tabColor rgb="FFFFC000"/>
    <pageSetUpPr fitToPage="1"/>
  </sheetPr>
  <dimension ref="A1:V107"/>
  <sheetViews>
    <sheetView showGridLines="0" workbookViewId="0">
      <selection activeCell="A2" sqref="A2"/>
    </sheetView>
  </sheetViews>
  <sheetFormatPr baseColWidth="10" defaultColWidth="11.42578125" defaultRowHeight="15" x14ac:dyDescent="0.25"/>
  <cols>
    <col min="1" max="1" width="21.28515625" style="255" customWidth="1"/>
    <col min="2" max="2" width="12.7109375" style="255" bestFit="1" customWidth="1"/>
    <col min="3" max="22" width="16" style="255" customWidth="1"/>
    <col min="23" max="16384" width="11.42578125" style="255"/>
  </cols>
  <sheetData>
    <row r="1" spans="1:22" ht="60" x14ac:dyDescent="0.8">
      <c r="A1" s="1337"/>
      <c r="B1" s="1337" t="s">
        <v>1612</v>
      </c>
      <c r="C1" s="1338"/>
      <c r="D1" s="1338"/>
      <c r="E1" s="1338"/>
      <c r="F1" s="1338"/>
      <c r="G1" s="1338"/>
      <c r="H1" s="1338"/>
      <c r="I1" s="1339"/>
      <c r="J1" s="1339"/>
      <c r="K1" s="1339"/>
      <c r="L1" s="1339"/>
      <c r="M1" s="1339"/>
      <c r="N1" s="1339"/>
      <c r="O1" s="1339"/>
      <c r="P1" s="1339"/>
      <c r="Q1" s="1339"/>
      <c r="R1" s="1339"/>
    </row>
    <row r="2" spans="1:22" ht="12.95" customHeight="1" x14ac:dyDescent="0.25">
      <c r="A2" s="254" t="s">
        <v>1875</v>
      </c>
      <c r="C2" s="256" t="s">
        <v>1438</v>
      </c>
      <c r="D2" s="2425" t="s">
        <v>1491</v>
      </c>
      <c r="E2" s="2427" t="s">
        <v>2325</v>
      </c>
      <c r="F2" s="2428" t="s">
        <v>2232</v>
      </c>
      <c r="G2" s="2425" t="s">
        <v>1491</v>
      </c>
      <c r="H2" s="2425" t="s">
        <v>1491</v>
      </c>
      <c r="I2" s="2425" t="s">
        <v>1491</v>
      </c>
      <c r="J2" s="2425" t="s">
        <v>1491</v>
      </c>
      <c r="K2" s="2426" t="s">
        <v>2115</v>
      </c>
      <c r="L2" s="1785" t="s">
        <v>1439</v>
      </c>
      <c r="M2" s="257" t="s">
        <v>1480</v>
      </c>
      <c r="N2" s="257" t="s">
        <v>1481</v>
      </c>
      <c r="O2" s="257" t="s">
        <v>1440</v>
      </c>
      <c r="P2" s="257" t="s">
        <v>1441</v>
      </c>
      <c r="Q2" s="257" t="s">
        <v>1486</v>
      </c>
      <c r="R2" s="257" t="s">
        <v>1442</v>
      </c>
      <c r="S2" s="258" t="s">
        <v>1477</v>
      </c>
      <c r="T2" s="257" t="s">
        <v>1443</v>
      </c>
      <c r="U2" s="257" t="s">
        <v>1478</v>
      </c>
      <c r="V2" s="1576" t="s">
        <v>1893</v>
      </c>
    </row>
    <row r="3" spans="1:22" ht="12.95" customHeight="1" x14ac:dyDescent="0.25">
      <c r="A3" s="259"/>
      <c r="C3" s="256"/>
      <c r="D3" s="260" t="s">
        <v>1494</v>
      </c>
      <c r="E3" s="262" t="s">
        <v>2048</v>
      </c>
      <c r="F3" s="1786" t="s">
        <v>2048</v>
      </c>
      <c r="G3" s="260" t="s">
        <v>1494</v>
      </c>
      <c r="H3" s="261" t="s">
        <v>1495</v>
      </c>
      <c r="I3" s="260" t="s">
        <v>1492</v>
      </c>
      <c r="J3" s="260" t="s">
        <v>1493</v>
      </c>
      <c r="K3" s="260"/>
      <c r="L3" s="1786" t="s">
        <v>1446</v>
      </c>
      <c r="M3" s="260" t="s">
        <v>1482</v>
      </c>
      <c r="N3" s="260" t="s">
        <v>1483</v>
      </c>
      <c r="O3" s="1302" t="s">
        <v>1447</v>
      </c>
      <c r="P3" s="1772" t="s">
        <v>1448</v>
      </c>
      <c r="Q3" s="260" t="s">
        <v>1449</v>
      </c>
      <c r="R3" s="1772" t="s">
        <v>1450</v>
      </c>
      <c r="S3" s="260" t="s">
        <v>1445</v>
      </c>
      <c r="T3" s="1302" t="s">
        <v>1451</v>
      </c>
      <c r="U3" s="1772" t="s">
        <v>1479</v>
      </c>
      <c r="V3" s="260" t="s">
        <v>1894</v>
      </c>
    </row>
    <row r="4" spans="1:22" ht="12.95" customHeight="1" x14ac:dyDescent="0.25">
      <c r="A4" s="1622" t="s">
        <v>1444</v>
      </c>
      <c r="B4" s="264"/>
      <c r="C4" s="264"/>
      <c r="D4" s="261" t="s">
        <v>1495</v>
      </c>
      <c r="E4" s="262"/>
      <c r="F4" s="1575"/>
      <c r="G4" s="260" t="s">
        <v>1492</v>
      </c>
      <c r="H4" s="261"/>
      <c r="I4" s="260"/>
      <c r="J4" s="260"/>
      <c r="K4" s="260"/>
      <c r="L4" s="1786"/>
      <c r="M4" s="260"/>
      <c r="N4" s="260"/>
      <c r="O4" s="1302"/>
      <c r="P4" s="1772"/>
      <c r="Q4" s="260"/>
      <c r="R4" s="1772"/>
      <c r="S4" s="260"/>
      <c r="T4" s="1302"/>
      <c r="U4" s="1772"/>
      <c r="V4" s="260" t="s">
        <v>1896</v>
      </c>
    </row>
    <row r="5" spans="1:22" ht="12.95" customHeight="1" x14ac:dyDescent="0.25">
      <c r="A5" s="265" t="s">
        <v>1485</v>
      </c>
      <c r="B5" s="266"/>
      <c r="C5" s="267">
        <v>26943621</v>
      </c>
      <c r="D5" s="267">
        <v>22408817</v>
      </c>
      <c r="E5" s="267">
        <v>24567689</v>
      </c>
      <c r="F5" s="267">
        <v>24613370</v>
      </c>
      <c r="G5" s="267">
        <v>22681080</v>
      </c>
      <c r="H5" s="267">
        <v>22827809</v>
      </c>
      <c r="I5" s="267">
        <v>23170939</v>
      </c>
      <c r="J5" s="267">
        <v>23491152</v>
      </c>
      <c r="K5" s="267">
        <v>25738242</v>
      </c>
      <c r="L5" s="267">
        <v>25723824</v>
      </c>
      <c r="M5" s="267">
        <v>25893980</v>
      </c>
      <c r="N5" s="267">
        <v>25972991</v>
      </c>
      <c r="O5" s="267">
        <v>26120312</v>
      </c>
      <c r="P5" s="267">
        <v>26046996</v>
      </c>
      <c r="Q5" s="267">
        <v>26114799</v>
      </c>
      <c r="R5" s="267">
        <v>26101088</v>
      </c>
      <c r="S5" s="267">
        <v>24583036</v>
      </c>
      <c r="T5" s="267">
        <v>26308822</v>
      </c>
      <c r="U5" s="268">
        <v>23314403</v>
      </c>
      <c r="V5" s="267">
        <v>46768019</v>
      </c>
    </row>
    <row r="6" spans="1:22" ht="12.95" customHeight="1" x14ac:dyDescent="0.25">
      <c r="A6" s="265" t="s">
        <v>1452</v>
      </c>
      <c r="B6" s="266"/>
      <c r="C6" s="267">
        <v>26501199</v>
      </c>
      <c r="D6" s="267">
        <v>22609260</v>
      </c>
      <c r="E6" s="267">
        <v>24676747</v>
      </c>
      <c r="F6" s="267">
        <v>24785994</v>
      </c>
      <c r="G6" s="267">
        <v>22857615</v>
      </c>
      <c r="H6" s="267">
        <v>23363496</v>
      </c>
      <c r="I6" s="267">
        <v>23686533</v>
      </c>
      <c r="J6" s="267">
        <v>24004784</v>
      </c>
      <c r="K6" s="267">
        <v>25919191</v>
      </c>
      <c r="L6" s="267">
        <v>25977296</v>
      </c>
      <c r="M6" s="267">
        <v>26069996</v>
      </c>
      <c r="N6" s="267">
        <v>26070348</v>
      </c>
      <c r="O6" s="267">
        <v>26153282</v>
      </c>
      <c r="P6" s="267">
        <v>26085262</v>
      </c>
      <c r="Q6" s="267">
        <v>26288976</v>
      </c>
      <c r="R6" s="267">
        <v>26145447</v>
      </c>
      <c r="S6" s="267">
        <v>25596338</v>
      </c>
      <c r="T6" s="267">
        <v>26208189</v>
      </c>
      <c r="U6" s="267">
        <v>23747918</v>
      </c>
      <c r="V6" s="267">
        <v>41292307</v>
      </c>
    </row>
    <row r="7" spans="1:22" ht="12.95" customHeight="1" x14ac:dyDescent="0.25">
      <c r="A7" s="265" t="s">
        <v>1453</v>
      </c>
      <c r="B7" s="266"/>
      <c r="C7" s="267">
        <v>24937810</v>
      </c>
      <c r="D7" s="267">
        <v>21627385</v>
      </c>
      <c r="E7" s="267">
        <v>22953940</v>
      </c>
      <c r="F7" s="267">
        <v>23011364</v>
      </c>
      <c r="G7" s="267">
        <v>21785180</v>
      </c>
      <c r="H7" s="267">
        <v>22268543</v>
      </c>
      <c r="I7" s="267">
        <v>22504756</v>
      </c>
      <c r="J7" s="267">
        <v>22666192</v>
      </c>
      <c r="K7" s="267">
        <v>23972600</v>
      </c>
      <c r="L7" s="267">
        <v>24091840</v>
      </c>
      <c r="M7" s="267">
        <v>24258146</v>
      </c>
      <c r="N7" s="267">
        <v>24202191</v>
      </c>
      <c r="O7" s="267">
        <v>24251444</v>
      </c>
      <c r="P7" s="267">
        <v>24180906</v>
      </c>
      <c r="Q7" s="267">
        <v>24352651</v>
      </c>
      <c r="R7" s="267">
        <v>24180906</v>
      </c>
      <c r="S7" s="267">
        <v>23448148</v>
      </c>
      <c r="T7" s="267">
        <v>24427804</v>
      </c>
      <c r="U7" s="267">
        <v>22519103</v>
      </c>
      <c r="V7" s="267">
        <v>37255699</v>
      </c>
    </row>
    <row r="8" spans="1:22" ht="12.95" customHeight="1" x14ac:dyDescent="0.25">
      <c r="A8" s="265" t="s">
        <v>1454</v>
      </c>
      <c r="B8" s="266"/>
      <c r="C8" s="267">
        <v>19901392</v>
      </c>
      <c r="D8" s="267">
        <v>10849224</v>
      </c>
      <c r="E8" s="267">
        <v>9399957</v>
      </c>
      <c r="F8" s="267">
        <v>9401362</v>
      </c>
      <c r="G8" s="269">
        <v>11648449</v>
      </c>
      <c r="H8" s="269">
        <v>11012359</v>
      </c>
      <c r="I8" s="269">
        <v>11648449</v>
      </c>
      <c r="J8" s="269">
        <v>11221360</v>
      </c>
      <c r="K8" s="267">
        <v>11850070</v>
      </c>
      <c r="L8" s="267">
        <v>11221360</v>
      </c>
      <c r="M8" s="267">
        <v>12954154</v>
      </c>
      <c r="N8" s="267">
        <v>12434658</v>
      </c>
      <c r="O8" s="267">
        <v>14871511</v>
      </c>
      <c r="P8" s="267">
        <v>14852229</v>
      </c>
      <c r="Q8" s="267">
        <v>14841386</v>
      </c>
      <c r="R8" s="267">
        <v>14007560</v>
      </c>
      <c r="S8" s="267">
        <v>12515898</v>
      </c>
      <c r="T8" s="267">
        <v>17145988</v>
      </c>
      <c r="U8" s="269">
        <v>19901392</v>
      </c>
      <c r="V8" s="267">
        <v>25531539</v>
      </c>
    </row>
    <row r="9" spans="1:22" ht="12.95" customHeight="1" x14ac:dyDescent="0.25">
      <c r="A9" s="265" t="s">
        <v>1455</v>
      </c>
      <c r="B9" s="266"/>
      <c r="C9" s="267">
        <v>26146816</v>
      </c>
      <c r="D9" s="269">
        <v>13329721</v>
      </c>
      <c r="E9" s="267">
        <v>10623456</v>
      </c>
      <c r="F9" s="267">
        <v>10625281</v>
      </c>
      <c r="G9" s="267">
        <v>12233609</v>
      </c>
      <c r="H9" s="269">
        <v>13484909</v>
      </c>
      <c r="I9" s="267">
        <v>12233609</v>
      </c>
      <c r="J9" s="269">
        <v>12674048</v>
      </c>
      <c r="K9" s="267">
        <v>13329133</v>
      </c>
      <c r="L9" s="267">
        <v>12674048</v>
      </c>
      <c r="M9" s="267">
        <v>13085114</v>
      </c>
      <c r="N9" s="267">
        <v>12792840</v>
      </c>
      <c r="O9" s="267">
        <v>14420578</v>
      </c>
      <c r="P9" s="267">
        <v>15258928</v>
      </c>
      <c r="Q9" s="267">
        <v>15217095</v>
      </c>
      <c r="R9" s="267">
        <v>15255780</v>
      </c>
      <c r="S9" s="267">
        <v>17264018</v>
      </c>
      <c r="T9" s="267">
        <v>18196297</v>
      </c>
      <c r="U9" s="269">
        <v>26146816</v>
      </c>
      <c r="V9" s="267">
        <v>33669139</v>
      </c>
    </row>
    <row r="10" spans="1:22" ht="12.95" customHeight="1" x14ac:dyDescent="0.25">
      <c r="A10" s="265" t="s">
        <v>1456</v>
      </c>
      <c r="B10" s="266"/>
      <c r="C10" s="267">
        <v>19768256</v>
      </c>
      <c r="D10" s="267">
        <v>11231744</v>
      </c>
      <c r="E10" s="267">
        <v>12326354</v>
      </c>
      <c r="F10" s="267">
        <v>12326880</v>
      </c>
      <c r="G10" s="269">
        <v>14070343</v>
      </c>
      <c r="H10" s="269">
        <v>11347831</v>
      </c>
      <c r="I10" s="269">
        <v>14070343</v>
      </c>
      <c r="J10" s="267">
        <v>13945200</v>
      </c>
      <c r="K10" s="267">
        <v>14643395</v>
      </c>
      <c r="L10" s="267">
        <v>13945200</v>
      </c>
      <c r="M10" s="267">
        <v>14918670</v>
      </c>
      <c r="N10" s="267">
        <v>14425321</v>
      </c>
      <c r="O10" s="267">
        <v>16677897</v>
      </c>
      <c r="P10" s="267">
        <v>16911582</v>
      </c>
      <c r="Q10" s="267">
        <v>16899865</v>
      </c>
      <c r="R10" s="267">
        <v>16341189</v>
      </c>
      <c r="S10" s="267">
        <v>15732148</v>
      </c>
      <c r="T10" s="267">
        <v>18006391</v>
      </c>
      <c r="U10" s="269">
        <v>19768256</v>
      </c>
      <c r="V10" s="267">
        <v>12623891</v>
      </c>
    </row>
    <row r="11" spans="1:22" ht="12.95" customHeight="1" x14ac:dyDescent="0.25">
      <c r="A11" s="265" t="s">
        <v>1457</v>
      </c>
      <c r="B11" s="266"/>
      <c r="C11" s="267">
        <v>10583732</v>
      </c>
      <c r="D11" s="267">
        <v>5290026</v>
      </c>
      <c r="E11" s="267">
        <v>5588253</v>
      </c>
      <c r="F11" s="267">
        <v>5588403</v>
      </c>
      <c r="G11" s="267">
        <v>5375711</v>
      </c>
      <c r="H11" s="267">
        <v>5289999</v>
      </c>
      <c r="I11" s="267">
        <v>5375773</v>
      </c>
      <c r="J11" s="267">
        <v>5419968</v>
      </c>
      <c r="K11" s="267">
        <v>6138703</v>
      </c>
      <c r="L11" s="267">
        <v>5785728</v>
      </c>
      <c r="M11" s="267">
        <v>5984194</v>
      </c>
      <c r="N11" s="267">
        <v>5874660</v>
      </c>
      <c r="O11" s="267">
        <v>6349512</v>
      </c>
      <c r="P11" s="267">
        <v>6811182</v>
      </c>
      <c r="Q11" s="267">
        <v>6767662</v>
      </c>
      <c r="R11" s="267">
        <v>6715697</v>
      </c>
      <c r="S11" s="267">
        <v>9152240</v>
      </c>
      <c r="T11" s="267">
        <v>8076926</v>
      </c>
      <c r="U11" s="269">
        <v>10583732</v>
      </c>
      <c r="V11" s="267">
        <v>20681939</v>
      </c>
    </row>
    <row r="12" spans="1:22" ht="12.95" customHeight="1" x14ac:dyDescent="0.25">
      <c r="A12" s="265" t="s">
        <v>1458</v>
      </c>
      <c r="B12" s="266"/>
      <c r="C12" s="267">
        <v>18432256</v>
      </c>
      <c r="D12" s="267">
        <v>9732576</v>
      </c>
      <c r="E12" s="267">
        <v>11268631</v>
      </c>
      <c r="F12" s="267">
        <v>11269657</v>
      </c>
      <c r="G12" s="267">
        <v>9868740</v>
      </c>
      <c r="H12" s="267">
        <v>9733617</v>
      </c>
      <c r="I12" s="267">
        <v>9869983</v>
      </c>
      <c r="J12" s="267">
        <v>10037056</v>
      </c>
      <c r="K12" s="267">
        <v>11523803</v>
      </c>
      <c r="L12" s="267">
        <v>10918720</v>
      </c>
      <c r="M12" s="267">
        <v>12491364</v>
      </c>
      <c r="N12" s="267">
        <v>11930669</v>
      </c>
      <c r="O12" s="267">
        <v>13891213</v>
      </c>
      <c r="P12" s="267">
        <v>14716229</v>
      </c>
      <c r="Q12" s="267">
        <v>14637416</v>
      </c>
      <c r="R12" s="267">
        <v>13629393</v>
      </c>
      <c r="S12" s="267">
        <v>12743874</v>
      </c>
      <c r="T12" s="267">
        <v>17175883</v>
      </c>
      <c r="U12" s="269">
        <v>18432256</v>
      </c>
      <c r="V12" s="267">
        <v>24544531</v>
      </c>
    </row>
    <row r="13" spans="1:22" ht="12.95" customHeight="1" x14ac:dyDescent="0.25">
      <c r="A13" s="265" t="s">
        <v>1459</v>
      </c>
      <c r="B13" s="266"/>
      <c r="C13" s="267">
        <v>12513574</v>
      </c>
      <c r="D13" s="267">
        <v>9639855</v>
      </c>
      <c r="E13" s="267">
        <v>10640202</v>
      </c>
      <c r="F13" s="267">
        <v>10652296</v>
      </c>
      <c r="G13" s="267">
        <v>9708369</v>
      </c>
      <c r="H13" s="267">
        <v>10081231</v>
      </c>
      <c r="I13" s="267">
        <v>10169468</v>
      </c>
      <c r="J13" s="267">
        <v>10278960</v>
      </c>
      <c r="K13" s="267">
        <v>11563760</v>
      </c>
      <c r="L13" s="267">
        <v>11592560</v>
      </c>
      <c r="M13" s="267">
        <v>11557946</v>
      </c>
      <c r="N13" s="267">
        <v>12435894</v>
      </c>
      <c r="O13" s="267">
        <v>11897462</v>
      </c>
      <c r="P13" s="267">
        <v>12118299</v>
      </c>
      <c r="Q13" s="267">
        <v>12071053</v>
      </c>
      <c r="R13" s="267">
        <v>12221194</v>
      </c>
      <c r="S13" s="267">
        <v>12025580</v>
      </c>
      <c r="T13" s="267">
        <v>12210945</v>
      </c>
      <c r="U13" s="267">
        <v>10341007</v>
      </c>
      <c r="V13" s="267">
        <v>28496179</v>
      </c>
    </row>
    <row r="14" spans="1:22" ht="12.95" customHeight="1" x14ac:dyDescent="0.25">
      <c r="A14" s="265" t="s">
        <v>1460</v>
      </c>
      <c r="B14" s="266"/>
      <c r="C14" s="267">
        <v>20276750</v>
      </c>
      <c r="D14" s="267">
        <v>17237350</v>
      </c>
      <c r="E14" s="267">
        <v>18628710</v>
      </c>
      <c r="F14" s="267">
        <v>18649929</v>
      </c>
      <c r="G14" s="267">
        <v>17479617</v>
      </c>
      <c r="H14" s="267">
        <v>17695327</v>
      </c>
      <c r="I14" s="267">
        <v>17983124</v>
      </c>
      <c r="J14" s="267">
        <v>18110992</v>
      </c>
      <c r="K14" s="267">
        <v>19597222</v>
      </c>
      <c r="L14" s="267">
        <v>19582256</v>
      </c>
      <c r="M14" s="267">
        <v>19688608</v>
      </c>
      <c r="N14" s="267">
        <v>20055936</v>
      </c>
      <c r="O14" s="267">
        <v>19854565</v>
      </c>
      <c r="P14" s="267">
        <v>19931023</v>
      </c>
      <c r="Q14" s="267">
        <v>19941797</v>
      </c>
      <c r="R14" s="267">
        <v>19984410</v>
      </c>
      <c r="S14" s="267">
        <v>18646862</v>
      </c>
      <c r="T14" s="267">
        <v>19960133</v>
      </c>
      <c r="U14" s="267">
        <v>17980171</v>
      </c>
      <c r="V14" s="267">
        <v>32867347</v>
      </c>
    </row>
    <row r="15" spans="1:22" ht="12.95" customHeight="1" x14ac:dyDescent="0.25">
      <c r="A15" s="265" t="s">
        <v>1461</v>
      </c>
      <c r="B15" s="266"/>
      <c r="C15" s="267">
        <v>28109879</v>
      </c>
      <c r="D15" s="267">
        <v>23801222</v>
      </c>
      <c r="E15" s="267">
        <v>26039325</v>
      </c>
      <c r="F15" s="267">
        <v>26132320</v>
      </c>
      <c r="G15" s="267">
        <v>24033763</v>
      </c>
      <c r="H15" s="267">
        <v>24631078</v>
      </c>
      <c r="I15" s="267">
        <v>24950802</v>
      </c>
      <c r="J15" s="267">
        <v>25228832</v>
      </c>
      <c r="K15" s="267">
        <v>27654220</v>
      </c>
      <c r="L15" s="267">
        <v>27620480</v>
      </c>
      <c r="M15" s="267">
        <v>27700040</v>
      </c>
      <c r="N15" s="267">
        <v>28125904</v>
      </c>
      <c r="O15" s="267">
        <v>28028504</v>
      </c>
      <c r="P15" s="267">
        <v>28021588</v>
      </c>
      <c r="Q15" s="267">
        <v>28110049</v>
      </c>
      <c r="R15" s="267">
        <v>28090554</v>
      </c>
      <c r="S15" s="267">
        <v>27251966</v>
      </c>
      <c r="T15" s="267">
        <v>28037188</v>
      </c>
      <c r="U15" s="267">
        <v>24821100</v>
      </c>
      <c r="V15" s="267">
        <v>48529459</v>
      </c>
    </row>
    <row r="16" spans="1:22" ht="12.95" customHeight="1" x14ac:dyDescent="0.25">
      <c r="A16" s="265" t="s">
        <v>1462</v>
      </c>
      <c r="B16" s="266"/>
      <c r="C16" s="267">
        <v>16182707</v>
      </c>
      <c r="D16" s="267">
        <v>14679468</v>
      </c>
      <c r="E16" s="267">
        <v>15593122</v>
      </c>
      <c r="F16" s="267">
        <v>15613965</v>
      </c>
      <c r="G16" s="267">
        <v>14885167</v>
      </c>
      <c r="H16" s="267">
        <v>14904579</v>
      </c>
      <c r="I16" s="267">
        <v>15136690</v>
      </c>
      <c r="J16" s="267">
        <v>15362960</v>
      </c>
      <c r="K16" s="267">
        <v>16003027</v>
      </c>
      <c r="L16" s="267">
        <v>15996848</v>
      </c>
      <c r="M16" s="267">
        <v>16002568</v>
      </c>
      <c r="N16" s="267">
        <v>16191027</v>
      </c>
      <c r="O16" s="267">
        <v>16095430</v>
      </c>
      <c r="P16" s="267">
        <v>16011662</v>
      </c>
      <c r="Q16" s="267">
        <v>16156023</v>
      </c>
      <c r="R16" s="267">
        <v>16060498</v>
      </c>
      <c r="S16" s="267">
        <v>21263152</v>
      </c>
      <c r="T16" s="267">
        <v>16028988</v>
      </c>
      <c r="U16" s="267">
        <v>15748459</v>
      </c>
      <c r="V16" s="267">
        <v>32220179</v>
      </c>
    </row>
    <row r="17" spans="1:22" ht="12.95" customHeight="1" x14ac:dyDescent="0.25">
      <c r="A17" s="265" t="s">
        <v>1463</v>
      </c>
      <c r="B17" s="266"/>
      <c r="C17" s="267">
        <v>16152516</v>
      </c>
      <c r="D17" s="267">
        <v>14539632</v>
      </c>
      <c r="E17" s="267">
        <v>15506228</v>
      </c>
      <c r="F17" s="267">
        <v>15514083</v>
      </c>
      <c r="G17" s="267">
        <v>14763880</v>
      </c>
      <c r="H17" s="267">
        <v>14726754</v>
      </c>
      <c r="I17" s="267">
        <v>14974028</v>
      </c>
      <c r="J17" s="267">
        <v>15174688</v>
      </c>
      <c r="K17" s="267">
        <v>15933191</v>
      </c>
      <c r="L17" s="267">
        <v>15908496</v>
      </c>
      <c r="M17" s="267">
        <v>15940722</v>
      </c>
      <c r="N17" s="267">
        <v>16161545</v>
      </c>
      <c r="O17" s="267">
        <v>16067932</v>
      </c>
      <c r="P17" s="267">
        <v>16010390</v>
      </c>
      <c r="Q17" s="267">
        <v>16101302</v>
      </c>
      <c r="R17" s="267">
        <v>16062638</v>
      </c>
      <c r="S17" s="267">
        <v>21297726</v>
      </c>
      <c r="T17" s="267">
        <v>16028895</v>
      </c>
      <c r="U17" s="267">
        <v>15683579</v>
      </c>
      <c r="V17" s="267">
        <v>32220179</v>
      </c>
    </row>
    <row r="18" spans="1:22" ht="12.95" customHeight="1" x14ac:dyDescent="0.25">
      <c r="A18" s="265" t="s">
        <v>1464</v>
      </c>
      <c r="B18" s="266"/>
      <c r="C18" s="267">
        <v>19320944</v>
      </c>
      <c r="D18" s="267">
        <v>12759842</v>
      </c>
      <c r="E18" s="267">
        <v>11857330</v>
      </c>
      <c r="F18" s="267">
        <v>11865003</v>
      </c>
      <c r="G18" s="267">
        <v>12832431</v>
      </c>
      <c r="H18" s="267">
        <v>13005918</v>
      </c>
      <c r="I18" s="267">
        <v>13097287</v>
      </c>
      <c r="J18" s="267">
        <v>13276464</v>
      </c>
      <c r="K18" s="267">
        <v>13775661</v>
      </c>
      <c r="L18" s="267">
        <v>12502544</v>
      </c>
      <c r="M18" s="267">
        <v>13737918</v>
      </c>
      <c r="N18" s="267">
        <v>13476125</v>
      </c>
      <c r="O18" s="267">
        <v>14916737</v>
      </c>
      <c r="P18" s="267">
        <v>14482717</v>
      </c>
      <c r="Q18" s="267">
        <v>14460583</v>
      </c>
      <c r="R18" s="267">
        <v>15912537</v>
      </c>
      <c r="S18" s="267">
        <v>18630460</v>
      </c>
      <c r="T18" s="267">
        <v>15984705</v>
      </c>
      <c r="U18" s="269">
        <v>19320944</v>
      </c>
      <c r="V18" s="267">
        <v>23792467</v>
      </c>
    </row>
    <row r="19" spans="1:22" ht="12.95" customHeight="1" x14ac:dyDescent="0.25">
      <c r="A19" s="265" t="s">
        <v>1484</v>
      </c>
      <c r="B19" s="266"/>
      <c r="C19" s="267">
        <v>19826176</v>
      </c>
      <c r="D19" s="267">
        <v>13387982</v>
      </c>
      <c r="E19" s="267">
        <v>12582088</v>
      </c>
      <c r="F19" s="267">
        <v>12582364</v>
      </c>
      <c r="G19" s="267">
        <v>13575720</v>
      </c>
      <c r="H19" s="267">
        <v>13517975</v>
      </c>
      <c r="I19" s="267">
        <v>13710009</v>
      </c>
      <c r="J19" s="267">
        <v>13953408</v>
      </c>
      <c r="K19" s="267">
        <v>14643923</v>
      </c>
      <c r="L19" s="267">
        <v>14688320</v>
      </c>
      <c r="M19" s="267">
        <v>15720530</v>
      </c>
      <c r="N19" s="267">
        <v>17623561</v>
      </c>
      <c r="O19" s="267">
        <v>17351055</v>
      </c>
      <c r="P19" s="267">
        <v>16287709</v>
      </c>
      <c r="Q19" s="267">
        <v>16239048</v>
      </c>
      <c r="R19" s="267">
        <v>17656303</v>
      </c>
      <c r="S19" s="267">
        <v>19115512</v>
      </c>
      <c r="T19" s="267">
        <v>18639201</v>
      </c>
      <c r="U19" s="267">
        <v>16016570</v>
      </c>
      <c r="V19" s="267">
        <v>33442323</v>
      </c>
    </row>
    <row r="20" spans="1:22" ht="12.95" customHeight="1" x14ac:dyDescent="0.25">
      <c r="A20" s="265" t="s">
        <v>1465</v>
      </c>
      <c r="B20" s="266"/>
      <c r="C20" s="267">
        <v>19788288</v>
      </c>
      <c r="D20" s="267">
        <v>14649291</v>
      </c>
      <c r="E20" s="267">
        <v>13830656</v>
      </c>
      <c r="F20" s="267">
        <v>13830415</v>
      </c>
      <c r="G20" s="267">
        <v>14807129</v>
      </c>
      <c r="H20" s="267">
        <v>14755855</v>
      </c>
      <c r="I20" s="267">
        <v>14919003</v>
      </c>
      <c r="J20" s="267">
        <v>15050608</v>
      </c>
      <c r="K20" s="267">
        <v>15830192</v>
      </c>
      <c r="L20" s="267">
        <v>15843024</v>
      </c>
      <c r="M20" s="267">
        <v>17623636</v>
      </c>
      <c r="N20" s="267">
        <v>18553821</v>
      </c>
      <c r="O20" s="267">
        <v>18518843</v>
      </c>
      <c r="P20" s="267">
        <v>17920370</v>
      </c>
      <c r="Q20" s="267">
        <v>17891891</v>
      </c>
      <c r="R20" s="267">
        <v>18406890</v>
      </c>
      <c r="S20" s="267">
        <v>18049584</v>
      </c>
      <c r="T20" s="267">
        <v>18990409</v>
      </c>
      <c r="U20" s="267">
        <v>15496110</v>
      </c>
      <c r="V20" s="267">
        <v>33442323</v>
      </c>
    </row>
    <row r="21" spans="1:22" ht="12.95" customHeight="1" x14ac:dyDescent="0.25">
      <c r="A21" s="265" t="s">
        <v>1466</v>
      </c>
      <c r="B21" s="266"/>
      <c r="C21" s="267">
        <v>26228938</v>
      </c>
      <c r="D21" s="267">
        <v>18922937</v>
      </c>
      <c r="E21" s="267">
        <v>20870629</v>
      </c>
      <c r="F21" s="267">
        <v>20869508</v>
      </c>
      <c r="G21" s="267">
        <v>19043772</v>
      </c>
      <c r="H21" s="267">
        <v>19228283</v>
      </c>
      <c r="I21" s="267">
        <v>19382743</v>
      </c>
      <c r="J21" s="267">
        <v>19488752</v>
      </c>
      <c r="K21" s="267">
        <v>21849253</v>
      </c>
      <c r="L21" s="267">
        <v>21894320</v>
      </c>
      <c r="M21" s="266">
        <v>21633732</v>
      </c>
      <c r="N21" s="267">
        <v>21700508</v>
      </c>
      <c r="O21" s="267">
        <v>23351907</v>
      </c>
      <c r="P21" s="267">
        <v>23408358</v>
      </c>
      <c r="Q21" s="267">
        <v>23358773</v>
      </c>
      <c r="R21" s="267">
        <v>24050554</v>
      </c>
      <c r="S21" s="267">
        <v>22116264</v>
      </c>
      <c r="T21" s="267">
        <v>24222840</v>
      </c>
      <c r="U21" s="269">
        <v>26228938</v>
      </c>
      <c r="V21" s="267">
        <v>32787475</v>
      </c>
    </row>
    <row r="22" spans="1:22" ht="12.95" customHeight="1" x14ac:dyDescent="0.25">
      <c r="A22" s="265" t="s">
        <v>1467</v>
      </c>
      <c r="B22" s="266"/>
      <c r="C22" s="267">
        <v>21659481</v>
      </c>
      <c r="D22" s="267">
        <v>12930974</v>
      </c>
      <c r="E22" s="267">
        <v>12598254</v>
      </c>
      <c r="F22" s="267">
        <v>12653030</v>
      </c>
      <c r="G22" s="267">
        <v>13071832</v>
      </c>
      <c r="H22" s="267">
        <v>13621226</v>
      </c>
      <c r="I22" s="267">
        <v>13821449</v>
      </c>
      <c r="J22" s="267">
        <v>13881040</v>
      </c>
      <c r="K22" s="267">
        <v>14877834</v>
      </c>
      <c r="L22" s="267">
        <v>14668784</v>
      </c>
      <c r="M22" s="266">
        <v>15444642</v>
      </c>
      <c r="N22" s="267">
        <v>15175793</v>
      </c>
      <c r="O22" s="267">
        <v>16776193</v>
      </c>
      <c r="P22" s="267">
        <v>17469756</v>
      </c>
      <c r="Q22" s="267">
        <v>17413317</v>
      </c>
      <c r="R22" s="267">
        <v>17200357</v>
      </c>
      <c r="S22" s="267">
        <v>13851250</v>
      </c>
      <c r="T22" s="267">
        <v>19499022</v>
      </c>
      <c r="U22" s="269">
        <v>21659481</v>
      </c>
      <c r="V22" s="267">
        <v>24384019</v>
      </c>
    </row>
    <row r="23" spans="1:22" ht="12.95" customHeight="1" x14ac:dyDescent="0.25">
      <c r="A23" s="265" t="s">
        <v>1468</v>
      </c>
      <c r="B23" s="266"/>
      <c r="C23" s="267">
        <v>39347960</v>
      </c>
      <c r="D23" s="267">
        <v>23623872</v>
      </c>
      <c r="E23" s="267">
        <v>22297910</v>
      </c>
      <c r="F23" s="267">
        <v>22311928</v>
      </c>
      <c r="G23" s="267">
        <v>23758966</v>
      </c>
      <c r="H23" s="267">
        <v>25083030</v>
      </c>
      <c r="I23" s="267">
        <v>25332292</v>
      </c>
      <c r="J23" s="267">
        <v>25430032</v>
      </c>
      <c r="K23" s="267">
        <v>25311716</v>
      </c>
      <c r="L23" s="267">
        <v>25938544</v>
      </c>
      <c r="M23" s="266">
        <v>25755290</v>
      </c>
      <c r="N23" s="267">
        <v>25283875</v>
      </c>
      <c r="O23" s="267">
        <v>29091246</v>
      </c>
      <c r="P23" s="267">
        <v>29568528</v>
      </c>
      <c r="Q23" s="267">
        <v>29455237</v>
      </c>
      <c r="R23" s="267">
        <v>30978788</v>
      </c>
      <c r="S23" s="267">
        <v>22494012</v>
      </c>
      <c r="T23" s="267">
        <v>34525155</v>
      </c>
      <c r="U23" s="269">
        <v>39347960</v>
      </c>
      <c r="V23" s="267">
        <v>41902099</v>
      </c>
    </row>
    <row r="24" spans="1:22" ht="12.95" customHeight="1" x14ac:dyDescent="0.25">
      <c r="A24" s="265" t="s">
        <v>1469</v>
      </c>
      <c r="B24" s="266"/>
      <c r="C24" s="268">
        <v>37642656</v>
      </c>
      <c r="D24" s="268">
        <v>20301668</v>
      </c>
      <c r="E24" s="267">
        <v>19659099</v>
      </c>
      <c r="F24" s="267">
        <v>19677162</v>
      </c>
      <c r="G24" s="268">
        <v>20503945</v>
      </c>
      <c r="H24" s="268">
        <v>21518344</v>
      </c>
      <c r="I24" s="268">
        <v>21789874</v>
      </c>
      <c r="J24" s="268">
        <v>21960080</v>
      </c>
      <c r="K24" s="268">
        <v>22258295</v>
      </c>
      <c r="L24" s="268">
        <v>22635392</v>
      </c>
      <c r="M24" s="270">
        <v>22395272</v>
      </c>
      <c r="N24" s="267">
        <v>22189301</v>
      </c>
      <c r="O24" s="268">
        <v>24958874</v>
      </c>
      <c r="P24" s="268">
        <v>25893326</v>
      </c>
      <c r="Q24" s="268">
        <v>25901286</v>
      </c>
      <c r="R24" s="268">
        <v>27565433</v>
      </c>
      <c r="S24" s="268">
        <v>19992298</v>
      </c>
      <c r="T24" s="268">
        <v>30467517</v>
      </c>
      <c r="U24" s="271">
        <v>37642656</v>
      </c>
      <c r="V24" s="267">
        <v>41902099</v>
      </c>
    </row>
    <row r="25" spans="1:22" ht="12.95" customHeight="1" x14ac:dyDescent="0.25">
      <c r="A25" s="265" t="s">
        <v>1470</v>
      </c>
      <c r="B25" s="266"/>
      <c r="C25" s="267">
        <v>14337044</v>
      </c>
      <c r="D25" s="267">
        <v>11795899</v>
      </c>
      <c r="E25" s="267">
        <v>11526905</v>
      </c>
      <c r="F25" s="267">
        <v>11528392</v>
      </c>
      <c r="G25" s="269">
        <v>12307516</v>
      </c>
      <c r="H25" s="269">
        <v>12109784</v>
      </c>
      <c r="I25" s="269">
        <v>12307516</v>
      </c>
      <c r="J25" s="269">
        <v>12807056</v>
      </c>
      <c r="K25" s="267">
        <v>12546539</v>
      </c>
      <c r="L25" s="267">
        <v>12807056</v>
      </c>
      <c r="M25" s="267">
        <v>12416478</v>
      </c>
      <c r="N25" s="267">
        <v>14383003</v>
      </c>
      <c r="O25" s="267">
        <v>13184268</v>
      </c>
      <c r="P25" s="267">
        <v>13595307</v>
      </c>
      <c r="Q25" s="267">
        <v>13536625</v>
      </c>
      <c r="R25" s="267">
        <v>14072785</v>
      </c>
      <c r="S25" s="267">
        <v>13933380</v>
      </c>
      <c r="T25" s="267">
        <v>14123276</v>
      </c>
      <c r="U25" s="269">
        <v>14337044</v>
      </c>
      <c r="V25" s="267">
        <v>28901395</v>
      </c>
    </row>
    <row r="26" spans="1:22" ht="12.95" customHeight="1" x14ac:dyDescent="0.25">
      <c r="A26" s="265" t="s">
        <v>1471</v>
      </c>
      <c r="B26" s="266"/>
      <c r="C26" s="267">
        <v>45761372</v>
      </c>
      <c r="D26" s="267">
        <v>35913412</v>
      </c>
      <c r="E26" s="267">
        <v>35370272</v>
      </c>
      <c r="F26" s="267">
        <v>35371153</v>
      </c>
      <c r="G26" s="269">
        <v>37937429</v>
      </c>
      <c r="H26" s="269">
        <v>37382148</v>
      </c>
      <c r="I26" s="269">
        <v>37937429</v>
      </c>
      <c r="J26" s="269">
        <v>39033024</v>
      </c>
      <c r="K26" s="267">
        <v>38364682</v>
      </c>
      <c r="L26" s="267">
        <v>39033024</v>
      </c>
      <c r="M26" s="266">
        <v>39101976</v>
      </c>
      <c r="N26" s="267">
        <v>45871260</v>
      </c>
      <c r="O26" s="267">
        <v>40441732</v>
      </c>
      <c r="P26" s="267">
        <v>41681197</v>
      </c>
      <c r="Q26" s="267">
        <v>41652158</v>
      </c>
      <c r="R26" s="267">
        <v>43697434</v>
      </c>
      <c r="S26" s="267">
        <v>45761372</v>
      </c>
      <c r="T26" s="267">
        <v>43841547</v>
      </c>
      <c r="U26" s="269">
        <v>45761372</v>
      </c>
      <c r="V26" s="267">
        <v>96509971</v>
      </c>
    </row>
    <row r="27" spans="1:22" ht="12.95" customHeight="1" x14ac:dyDescent="0.25">
      <c r="A27" s="265" t="s">
        <v>1472</v>
      </c>
      <c r="B27" s="266"/>
      <c r="C27" s="267">
        <v>17039360</v>
      </c>
      <c r="D27" s="267">
        <v>13577475</v>
      </c>
      <c r="E27" s="267">
        <v>11588155</v>
      </c>
      <c r="F27" s="267">
        <v>11588351</v>
      </c>
      <c r="G27" s="267">
        <v>13782189</v>
      </c>
      <c r="H27" s="267">
        <v>13714130</v>
      </c>
      <c r="I27" s="267">
        <v>13932862</v>
      </c>
      <c r="J27" s="267">
        <v>14196432</v>
      </c>
      <c r="K27" s="267">
        <v>14570828</v>
      </c>
      <c r="L27" s="267">
        <v>15733264</v>
      </c>
      <c r="M27" s="267">
        <v>15632788</v>
      </c>
      <c r="N27" s="267">
        <v>16951994</v>
      </c>
      <c r="O27" s="267">
        <v>16345140</v>
      </c>
      <c r="P27" s="267">
        <v>16130474</v>
      </c>
      <c r="Q27" s="267">
        <v>16083266</v>
      </c>
      <c r="R27" s="267">
        <v>16503430</v>
      </c>
      <c r="S27" s="267">
        <v>21616152</v>
      </c>
      <c r="T27" s="267">
        <v>16499451</v>
      </c>
      <c r="U27" s="269">
        <v>17039360</v>
      </c>
      <c r="V27" s="267">
        <v>32327699</v>
      </c>
    </row>
    <row r="28" spans="1:22" ht="12.95" customHeight="1" x14ac:dyDescent="0.25">
      <c r="A28" s="265" t="s">
        <v>1473</v>
      </c>
      <c r="B28" s="266"/>
      <c r="C28" s="267">
        <v>25329664</v>
      </c>
      <c r="D28" s="267">
        <v>18627235</v>
      </c>
      <c r="E28" s="267">
        <v>16937986</v>
      </c>
      <c r="F28" s="267">
        <v>16938488</v>
      </c>
      <c r="G28" s="267">
        <v>18969586</v>
      </c>
      <c r="H28" s="267">
        <v>18790446</v>
      </c>
      <c r="I28" s="267">
        <v>19138746</v>
      </c>
      <c r="J28" s="267">
        <v>19577008</v>
      </c>
      <c r="K28" s="267">
        <v>21047968</v>
      </c>
      <c r="L28" s="267">
        <v>22724368</v>
      </c>
      <c r="M28" s="266">
        <v>22998580</v>
      </c>
      <c r="N28" s="267">
        <v>25329475</v>
      </c>
      <c r="O28" s="267">
        <v>23930812</v>
      </c>
      <c r="P28" s="267">
        <v>23737311</v>
      </c>
      <c r="Q28" s="267">
        <v>23681285</v>
      </c>
      <c r="R28" s="267">
        <v>24421936</v>
      </c>
      <c r="S28" s="267">
        <v>30072126</v>
      </c>
      <c r="T28" s="267">
        <v>24454910</v>
      </c>
      <c r="U28" s="269">
        <v>25329664</v>
      </c>
      <c r="V28" s="267">
        <v>48674323</v>
      </c>
    </row>
    <row r="29" spans="1:22" ht="12.95" customHeight="1" x14ac:dyDescent="0.25">
      <c r="A29" s="265" t="s">
        <v>1474</v>
      </c>
      <c r="B29" s="266"/>
      <c r="C29" s="267">
        <v>25100288</v>
      </c>
      <c r="D29" s="267">
        <v>18006969</v>
      </c>
      <c r="E29" s="267">
        <v>16325667</v>
      </c>
      <c r="F29" s="267">
        <v>16326731</v>
      </c>
      <c r="G29" s="267">
        <v>18293502</v>
      </c>
      <c r="H29" s="267">
        <v>18124488</v>
      </c>
      <c r="I29" s="267">
        <v>18416086</v>
      </c>
      <c r="J29" s="267">
        <v>18652560</v>
      </c>
      <c r="K29" s="267">
        <v>20069255</v>
      </c>
      <c r="L29" s="267">
        <v>20879376</v>
      </c>
      <c r="M29" s="266">
        <v>21876324</v>
      </c>
      <c r="N29" s="267">
        <v>25034604</v>
      </c>
      <c r="O29" s="267">
        <v>23353983</v>
      </c>
      <c r="P29" s="267">
        <v>22668352</v>
      </c>
      <c r="Q29" s="267">
        <v>22634447</v>
      </c>
      <c r="R29" s="267">
        <v>23834302</v>
      </c>
      <c r="S29" s="267">
        <v>26851256</v>
      </c>
      <c r="T29" s="267">
        <v>24017265</v>
      </c>
      <c r="U29" s="269">
        <v>25100288</v>
      </c>
      <c r="V29" s="267">
        <v>48674323</v>
      </c>
    </row>
    <row r="30" spans="1:22" ht="12.95" customHeight="1" x14ac:dyDescent="0.25">
      <c r="A30" s="259"/>
      <c r="B30" s="272" t="s">
        <v>1475</v>
      </c>
      <c r="C30" s="273">
        <f>SUM(C5:C29)</f>
        <v>577832679</v>
      </c>
      <c r="D30" s="273">
        <f t="shared" ref="D30:K30" si="0">SUM(D5:D29)</f>
        <v>411473836</v>
      </c>
      <c r="E30" s="1598">
        <f>SUM(E5:E29)</f>
        <v>413257565</v>
      </c>
      <c r="F30" s="273">
        <f>SUM(F5:F29)</f>
        <v>413727429</v>
      </c>
      <c r="G30" s="273">
        <f>SUM(G5:G29)</f>
        <v>420275540</v>
      </c>
      <c r="H30" s="273">
        <f>SUM(H5:H29)</f>
        <v>422219159</v>
      </c>
      <c r="I30" s="273">
        <f t="shared" si="0"/>
        <v>429559793</v>
      </c>
      <c r="J30" s="273">
        <f t="shared" si="0"/>
        <v>434922656</v>
      </c>
      <c r="K30" s="273">
        <f t="shared" si="0"/>
        <v>459012703</v>
      </c>
      <c r="L30" s="1598">
        <f t="shared" ref="L30:V30" si="1">SUM(L5:L29)</f>
        <v>460386672</v>
      </c>
      <c r="M30" s="273">
        <f t="shared" si="1"/>
        <v>470882668</v>
      </c>
      <c r="N30" s="273">
        <f t="shared" si="1"/>
        <v>488247304</v>
      </c>
      <c r="O30" s="273">
        <f t="shared" si="1"/>
        <v>496900432</v>
      </c>
      <c r="P30" s="273">
        <f t="shared" si="1"/>
        <v>499799681</v>
      </c>
      <c r="Q30" s="273">
        <f t="shared" si="1"/>
        <v>499807990</v>
      </c>
      <c r="R30" s="273">
        <f t="shared" si="1"/>
        <v>509097103</v>
      </c>
      <c r="S30" s="273">
        <f t="shared" si="1"/>
        <v>514004652</v>
      </c>
      <c r="T30" s="273">
        <f t="shared" si="1"/>
        <v>533077747</v>
      </c>
      <c r="U30" s="274">
        <f t="shared" si="1"/>
        <v>552268579</v>
      </c>
      <c r="V30" s="273">
        <f t="shared" si="1"/>
        <v>903440923</v>
      </c>
    </row>
    <row r="31" spans="1:22" ht="12.95" customHeight="1" x14ac:dyDescent="0.25">
      <c r="A31" s="259"/>
      <c r="B31" s="272" t="s">
        <v>1940</v>
      </c>
      <c r="C31" s="273"/>
      <c r="D31" s="273">
        <v>1302</v>
      </c>
      <c r="E31" s="1598">
        <f>513.7+510.6+502.1+322.9+352.6+307.1+253.4+355.9+273.8+485.1+ 603.9+357.5+358.7+358.4+222.3+211.2+512+359.6+930.5+756.5+292.7+923.3+231.2+330+331.1</f>
        <v>10656.1</v>
      </c>
      <c r="F31" s="273">
        <f>462.8+438.2+428.3+253.3+330.9+285.1+184+332.6+226.6+371+518.3+300.1+320.2+251.3+184.1+176.6+439.4+287.5+712.3+624.8+248.8+778.5+208.4+309.8+284</f>
        <v>8956.9</v>
      </c>
      <c r="G31" s="273">
        <v>684</v>
      </c>
      <c r="H31" s="273">
        <v>1174</v>
      </c>
      <c r="I31" s="273">
        <v>699</v>
      </c>
      <c r="J31" s="273">
        <v>333</v>
      </c>
      <c r="K31" s="273">
        <f>30+29+29+9+10+9+6+10+9+16+23+12+13+13+5+4+18+12+22+19+6+19+3+6+6</f>
        <v>338</v>
      </c>
      <c r="L31" s="1598">
        <v>205</v>
      </c>
      <c r="M31" s="273">
        <v>109</v>
      </c>
      <c r="N31" s="273">
        <v>333</v>
      </c>
      <c r="O31" s="273">
        <v>150</v>
      </c>
      <c r="P31" s="273">
        <v>122</v>
      </c>
      <c r="Q31" s="273">
        <v>128</v>
      </c>
      <c r="R31" s="273">
        <v>80</v>
      </c>
      <c r="S31" s="273">
        <v>134</v>
      </c>
      <c r="T31" s="273">
        <v>67</v>
      </c>
      <c r="U31" s="273">
        <v>26</v>
      </c>
      <c r="V31" s="273">
        <v>43</v>
      </c>
    </row>
    <row r="32" spans="1:22" ht="12.95" customHeight="1" x14ac:dyDescent="0.25">
      <c r="A32" s="259"/>
      <c r="B32" s="272" t="s">
        <v>2114</v>
      </c>
      <c r="C32" s="273"/>
      <c r="D32" s="275">
        <v>1372</v>
      </c>
      <c r="E32" s="273"/>
      <c r="F32" s="1598"/>
      <c r="G32" s="273">
        <v>668</v>
      </c>
      <c r="H32" s="275">
        <v>1186</v>
      </c>
      <c r="I32" s="273">
        <v>645</v>
      </c>
      <c r="J32" s="273">
        <v>183</v>
      </c>
      <c r="K32" s="273"/>
      <c r="L32" s="1598">
        <v>156</v>
      </c>
      <c r="M32" s="273">
        <v>89</v>
      </c>
      <c r="N32" s="273">
        <v>155</v>
      </c>
      <c r="O32" s="273">
        <v>119</v>
      </c>
      <c r="P32" s="273">
        <v>26</v>
      </c>
      <c r="Q32" s="273">
        <v>39</v>
      </c>
      <c r="R32" s="273">
        <v>39</v>
      </c>
      <c r="S32" s="273">
        <v>25</v>
      </c>
      <c r="T32" s="273">
        <v>7</v>
      </c>
      <c r="U32" s="273">
        <v>13</v>
      </c>
      <c r="V32" s="273"/>
    </row>
    <row r="34" spans="1:19" ht="15.75" x14ac:dyDescent="0.25">
      <c r="A34" s="1578" t="s">
        <v>1685</v>
      </c>
      <c r="B34" s="276" t="s">
        <v>1599</v>
      </c>
      <c r="C34" s="276"/>
      <c r="D34" s="276"/>
      <c r="E34" s="276"/>
      <c r="F34" s="276"/>
      <c r="G34" s="276"/>
      <c r="H34" s="276"/>
    </row>
    <row r="35" spans="1:19" ht="15.75" x14ac:dyDescent="0.25">
      <c r="A35" s="1578" t="s">
        <v>1685</v>
      </c>
      <c r="B35" s="277">
        <v>25100288</v>
      </c>
      <c r="C35" s="278" t="s">
        <v>1952</v>
      </c>
      <c r="D35" s="278"/>
      <c r="E35" s="278"/>
      <c r="F35" s="278"/>
      <c r="G35" s="278"/>
      <c r="H35" s="278"/>
      <c r="I35" s="278"/>
    </row>
    <row r="36" spans="1:19" ht="15.75" x14ac:dyDescent="0.25">
      <c r="A36" s="1578" t="s">
        <v>1685</v>
      </c>
      <c r="B36" s="278" t="s">
        <v>1897</v>
      </c>
      <c r="C36" s="278"/>
      <c r="D36" s="278"/>
      <c r="E36" s="278"/>
      <c r="F36" s="278"/>
      <c r="G36" s="278"/>
      <c r="H36" s="278"/>
    </row>
    <row r="37" spans="1:19" ht="15.75" x14ac:dyDescent="0.25">
      <c r="B37" s="278" t="s">
        <v>1487</v>
      </c>
      <c r="C37" s="278"/>
      <c r="D37" s="278"/>
      <c r="E37" s="278"/>
      <c r="F37" s="278"/>
      <c r="G37" s="278"/>
      <c r="H37" s="278"/>
    </row>
    <row r="38" spans="1:19" ht="15.75" x14ac:dyDescent="0.25">
      <c r="A38" s="1578" t="s">
        <v>1685</v>
      </c>
      <c r="B38" s="276" t="s">
        <v>1898</v>
      </c>
      <c r="C38" s="278"/>
      <c r="D38" s="278"/>
      <c r="E38" s="278"/>
      <c r="F38" s="278"/>
      <c r="G38" s="278"/>
      <c r="H38" s="278"/>
    </row>
    <row r="39" spans="1:19" ht="15.75" x14ac:dyDescent="0.25">
      <c r="A39" s="1578"/>
      <c r="B39" s="276"/>
      <c r="C39" s="278"/>
      <c r="D39" s="278"/>
      <c r="E39" s="278"/>
      <c r="F39" s="278"/>
      <c r="G39" s="278"/>
      <c r="H39" s="278"/>
    </row>
    <row r="40" spans="1:19" ht="15.75" x14ac:dyDescent="0.25">
      <c r="A40" s="1578"/>
      <c r="B40" s="276"/>
      <c r="C40" s="278"/>
      <c r="D40" s="278"/>
      <c r="E40" s="278"/>
      <c r="F40" s="278"/>
      <c r="G40" s="278"/>
      <c r="H40" s="278"/>
    </row>
    <row r="41" spans="1:19" ht="15.75" x14ac:dyDescent="0.25">
      <c r="A41" s="254" t="s">
        <v>1873</v>
      </c>
      <c r="C41" s="256" t="s">
        <v>1909</v>
      </c>
      <c r="D41" s="257" t="s">
        <v>2089</v>
      </c>
      <c r="E41" s="257" t="s">
        <v>1991</v>
      </c>
      <c r="F41" s="257" t="s">
        <v>1989</v>
      </c>
      <c r="G41" s="257" t="s">
        <v>1975</v>
      </c>
      <c r="H41" s="257" t="s">
        <v>1988</v>
      </c>
      <c r="I41" s="1577" t="s">
        <v>1491</v>
      </c>
      <c r="J41" s="257" t="s">
        <v>1944</v>
      </c>
      <c r="K41" s="1577" t="s">
        <v>1491</v>
      </c>
      <c r="L41" s="1607" t="s">
        <v>1949</v>
      </c>
      <c r="M41" s="257" t="s">
        <v>1937</v>
      </c>
      <c r="N41" s="1606" t="s">
        <v>1942</v>
      </c>
      <c r="O41" s="257" t="s">
        <v>1442</v>
      </c>
      <c r="P41" s="257" t="s">
        <v>1931</v>
      </c>
      <c r="Q41" s="258" t="s">
        <v>1950</v>
      </c>
      <c r="R41" s="258" t="s">
        <v>1943</v>
      </c>
      <c r="S41" s="258" t="s">
        <v>1945</v>
      </c>
    </row>
    <row r="42" spans="1:19" ht="15.75" x14ac:dyDescent="0.25">
      <c r="A42" s="259"/>
      <c r="C42" s="256" t="s">
        <v>1930</v>
      </c>
      <c r="D42" s="260" t="s">
        <v>1976</v>
      </c>
      <c r="E42" s="260" t="s">
        <v>1976</v>
      </c>
      <c r="F42" s="260" t="s">
        <v>1976</v>
      </c>
      <c r="G42" s="1603" t="s">
        <v>1977</v>
      </c>
      <c r="H42" s="260" t="s">
        <v>1976</v>
      </c>
      <c r="I42" s="1602" t="s">
        <v>1939</v>
      </c>
      <c r="J42" s="1604"/>
      <c r="K42" s="1601" t="s">
        <v>1938</v>
      </c>
      <c r="L42" s="1603" t="s">
        <v>1932</v>
      </c>
      <c r="M42" s="1654" t="s">
        <v>1448</v>
      </c>
      <c r="N42" s="260"/>
      <c r="O42" s="1654" t="s">
        <v>1450</v>
      </c>
      <c r="P42" s="260"/>
      <c r="Q42" s="260" t="s">
        <v>1445</v>
      </c>
      <c r="R42" s="260" t="s">
        <v>1948</v>
      </c>
      <c r="S42" s="1654" t="s">
        <v>1946</v>
      </c>
    </row>
    <row r="43" spans="1:19" x14ac:dyDescent="0.25">
      <c r="A43" s="1627" t="s">
        <v>1444</v>
      </c>
      <c r="B43" s="264"/>
      <c r="C43" s="264"/>
      <c r="D43" s="260" t="s">
        <v>1992</v>
      </c>
      <c r="E43" s="260" t="s">
        <v>1992</v>
      </c>
      <c r="F43" s="260" t="s">
        <v>1895</v>
      </c>
      <c r="G43" s="260" t="s">
        <v>1895</v>
      </c>
      <c r="H43" s="260" t="s">
        <v>1895</v>
      </c>
      <c r="I43" s="1600" t="s">
        <v>1821</v>
      </c>
      <c r="J43" s="260" t="s">
        <v>1895</v>
      </c>
      <c r="K43" s="260" t="s">
        <v>1935</v>
      </c>
      <c r="L43" s="1603" t="s">
        <v>1941</v>
      </c>
      <c r="M43" s="260" t="s">
        <v>1935</v>
      </c>
      <c r="N43" s="260"/>
      <c r="O43" s="260"/>
      <c r="P43" s="260"/>
      <c r="Q43" s="260" t="s">
        <v>1936</v>
      </c>
      <c r="R43" s="260" t="s">
        <v>1947</v>
      </c>
    </row>
    <row r="44" spans="1:19" ht="15.75" x14ac:dyDescent="0.25">
      <c r="A44" s="265" t="s">
        <v>1485</v>
      </c>
      <c r="B44" s="266"/>
      <c r="C44" s="267">
        <v>46768019</v>
      </c>
      <c r="D44" s="267">
        <v>19768723</v>
      </c>
      <c r="E44" s="1662">
        <v>19953238</v>
      </c>
      <c r="F44" s="267">
        <v>19959186</v>
      </c>
      <c r="G44" s="267">
        <v>20189802</v>
      </c>
      <c r="H44" s="267">
        <v>20076340</v>
      </c>
      <c r="I44" s="267">
        <v>19968615</v>
      </c>
      <c r="J44" s="267">
        <v>20091131</v>
      </c>
      <c r="K44" s="267">
        <v>20669301</v>
      </c>
      <c r="L44" s="267">
        <v>21266971</v>
      </c>
      <c r="M44" s="267">
        <v>23839390</v>
      </c>
      <c r="N44" s="267">
        <v>25193584</v>
      </c>
      <c r="O44" s="267">
        <v>24050603</v>
      </c>
      <c r="P44" s="267">
        <v>22745355</v>
      </c>
      <c r="Q44" s="267">
        <v>22301496</v>
      </c>
      <c r="R44" s="267">
        <v>28291091</v>
      </c>
      <c r="S44" s="1605">
        <v>33187508</v>
      </c>
    </row>
    <row r="45" spans="1:19" ht="15.75" x14ac:dyDescent="0.25">
      <c r="A45" s="265" t="s">
        <v>1910</v>
      </c>
      <c r="B45" s="266"/>
      <c r="C45" s="267">
        <v>41292307</v>
      </c>
      <c r="D45" s="267">
        <v>19054320</v>
      </c>
      <c r="E45" s="1662">
        <v>19158776</v>
      </c>
      <c r="F45" s="267">
        <v>19167016</v>
      </c>
      <c r="G45" s="267">
        <v>19523188</v>
      </c>
      <c r="H45" s="267">
        <v>19275134</v>
      </c>
      <c r="I45" s="267">
        <v>19065917</v>
      </c>
      <c r="J45" s="267">
        <v>19331430</v>
      </c>
      <c r="K45" s="267">
        <v>19804276</v>
      </c>
      <c r="L45" s="267">
        <v>20701355</v>
      </c>
      <c r="M45" s="267">
        <v>23940482</v>
      </c>
      <c r="N45" s="267">
        <v>22776228</v>
      </c>
      <c r="O45" s="267">
        <v>24326468</v>
      </c>
      <c r="P45" s="267">
        <v>20654464</v>
      </c>
      <c r="Q45" s="267">
        <v>22170242</v>
      </c>
      <c r="R45" s="267">
        <v>27688944</v>
      </c>
      <c r="S45" s="1605">
        <v>31215028</v>
      </c>
    </row>
    <row r="46" spans="1:19" ht="15.75" x14ac:dyDescent="0.25">
      <c r="A46" s="265" t="s">
        <v>1911</v>
      </c>
      <c r="B46" s="266"/>
      <c r="C46" s="267">
        <v>37255699</v>
      </c>
      <c r="D46" s="267">
        <v>18635914</v>
      </c>
      <c r="E46" s="1662">
        <v>18760247</v>
      </c>
      <c r="F46" s="267">
        <v>18783636</v>
      </c>
      <c r="G46" s="267">
        <v>18991975</v>
      </c>
      <c r="H46" s="267">
        <v>18871544</v>
      </c>
      <c r="I46" s="267">
        <v>18611368</v>
      </c>
      <c r="J46" s="267">
        <v>18852519</v>
      </c>
      <c r="K46" s="267">
        <v>18980080</v>
      </c>
      <c r="L46" s="267">
        <v>19517397</v>
      </c>
      <c r="M46" s="267">
        <v>22075224</v>
      </c>
      <c r="N46" s="267">
        <v>20989680</v>
      </c>
      <c r="O46" s="267">
        <v>22435561</v>
      </c>
      <c r="P46" s="267">
        <v>18856002</v>
      </c>
      <c r="Q46" s="267">
        <v>20415252</v>
      </c>
      <c r="R46" s="267">
        <v>25542287</v>
      </c>
      <c r="S46" s="1605">
        <v>28595544</v>
      </c>
    </row>
    <row r="47" spans="1:19" ht="15.75" x14ac:dyDescent="0.25">
      <c r="A47" s="265" t="s">
        <v>1912</v>
      </c>
      <c r="B47" s="266"/>
      <c r="C47" s="267">
        <v>25531539</v>
      </c>
      <c r="D47" s="267">
        <v>9327489</v>
      </c>
      <c r="E47" s="1662">
        <v>9380388</v>
      </c>
      <c r="F47" s="267">
        <v>9389835</v>
      </c>
      <c r="G47" s="267">
        <v>9475470</v>
      </c>
      <c r="H47" s="267">
        <v>9505487</v>
      </c>
      <c r="I47" s="267">
        <v>9438162</v>
      </c>
      <c r="J47" s="267">
        <v>9686263</v>
      </c>
      <c r="K47" s="267">
        <v>9979545</v>
      </c>
      <c r="L47" s="267">
        <v>10188244</v>
      </c>
      <c r="M47" s="267">
        <v>12137043</v>
      </c>
      <c r="N47" s="267">
        <v>11883350</v>
      </c>
      <c r="O47" s="267">
        <v>11674236</v>
      </c>
      <c r="P47" s="267">
        <v>11037866</v>
      </c>
      <c r="Q47" s="267">
        <v>10954644</v>
      </c>
      <c r="R47" s="267">
        <v>13738801</v>
      </c>
      <c r="S47" s="1605">
        <v>17126846</v>
      </c>
    </row>
    <row r="48" spans="1:19" ht="15.75" x14ac:dyDescent="0.25">
      <c r="A48" s="265" t="s">
        <v>1990</v>
      </c>
      <c r="B48" s="266"/>
      <c r="C48" s="267">
        <v>33669139</v>
      </c>
      <c r="D48" s="267">
        <v>10994365</v>
      </c>
      <c r="E48" s="1662">
        <v>11064699</v>
      </c>
      <c r="F48" s="267">
        <v>11064698</v>
      </c>
      <c r="G48" s="267">
        <v>11098920</v>
      </c>
      <c r="H48" s="267">
        <v>11098920</v>
      </c>
      <c r="I48" s="267">
        <v>11687785</v>
      </c>
      <c r="J48" s="267">
        <v>11364550</v>
      </c>
      <c r="K48" s="267">
        <v>13277143</v>
      </c>
      <c r="L48" s="267">
        <v>11968614</v>
      </c>
      <c r="M48" s="267">
        <v>12846141</v>
      </c>
      <c r="N48" s="267">
        <v>12454782</v>
      </c>
      <c r="O48" s="267">
        <v>14615502</v>
      </c>
      <c r="P48" s="267">
        <v>13525567</v>
      </c>
      <c r="Q48" s="267">
        <v>14604874</v>
      </c>
      <c r="R48" s="267">
        <v>17397570</v>
      </c>
      <c r="S48" s="1605">
        <v>19202440</v>
      </c>
    </row>
    <row r="49" spans="1:19" ht="15.75" x14ac:dyDescent="0.25">
      <c r="A49" s="265" t="s">
        <v>1913</v>
      </c>
      <c r="B49" s="266"/>
      <c r="C49" s="267">
        <v>12623891</v>
      </c>
      <c r="D49" s="267">
        <v>6109863</v>
      </c>
      <c r="E49" s="1662">
        <v>6150172</v>
      </c>
      <c r="F49" s="267">
        <v>6165084</v>
      </c>
      <c r="G49" s="267">
        <v>6184195</v>
      </c>
      <c r="H49" s="267">
        <v>6169527</v>
      </c>
      <c r="I49" s="267">
        <v>6093619</v>
      </c>
      <c r="J49" s="267">
        <v>6196386</v>
      </c>
      <c r="K49" s="267">
        <v>6291712</v>
      </c>
      <c r="L49" s="267">
        <v>6354049</v>
      </c>
      <c r="M49" s="267">
        <v>7304677</v>
      </c>
      <c r="N49" s="267">
        <v>6935090</v>
      </c>
      <c r="O49" s="267">
        <v>7817602</v>
      </c>
      <c r="P49" s="267">
        <v>6544228</v>
      </c>
      <c r="Q49" s="267">
        <v>13414754</v>
      </c>
      <c r="R49" s="267">
        <v>8325182</v>
      </c>
      <c r="S49" s="1605">
        <v>9271604</v>
      </c>
    </row>
    <row r="50" spans="1:19" ht="15.75" x14ac:dyDescent="0.25">
      <c r="A50" s="265" t="s">
        <v>1914</v>
      </c>
      <c r="B50" s="266"/>
      <c r="C50" s="267">
        <v>20681939</v>
      </c>
      <c r="D50" s="267">
        <v>5081041</v>
      </c>
      <c r="E50" s="1662">
        <v>5104496</v>
      </c>
      <c r="F50" s="267">
        <v>5110976</v>
      </c>
      <c r="G50" s="267">
        <v>5132225</v>
      </c>
      <c r="H50" s="267">
        <v>5098034</v>
      </c>
      <c r="I50" s="267">
        <v>5146988</v>
      </c>
      <c r="J50" s="267">
        <v>11359612</v>
      </c>
      <c r="K50" s="267">
        <v>5560365</v>
      </c>
      <c r="L50" s="267">
        <v>12149003</v>
      </c>
      <c r="M50" s="267">
        <v>6630328</v>
      </c>
      <c r="N50" s="267">
        <v>13080050</v>
      </c>
      <c r="O50" s="267">
        <v>8699620</v>
      </c>
      <c r="P50" s="267">
        <v>11279284</v>
      </c>
      <c r="Q50" s="267">
        <v>6783502</v>
      </c>
      <c r="R50" s="267">
        <v>13921556</v>
      </c>
      <c r="S50" s="1605">
        <v>15255188</v>
      </c>
    </row>
    <row r="51" spans="1:19" ht="15.75" x14ac:dyDescent="0.25">
      <c r="A51" s="265" t="s">
        <v>1915</v>
      </c>
      <c r="B51" s="266"/>
      <c r="C51" s="267">
        <v>24544531</v>
      </c>
      <c r="D51" s="267">
        <v>9593749</v>
      </c>
      <c r="E51" s="1662">
        <v>9650094</v>
      </c>
      <c r="F51" s="267">
        <v>9810794</v>
      </c>
      <c r="G51" s="267">
        <v>9863849</v>
      </c>
      <c r="H51" s="267">
        <v>9731217</v>
      </c>
      <c r="I51" s="267">
        <v>9620771</v>
      </c>
      <c r="J51" s="267">
        <v>9787825</v>
      </c>
      <c r="K51" s="267">
        <v>10166779</v>
      </c>
      <c r="L51" s="267">
        <v>10304972</v>
      </c>
      <c r="M51" s="267">
        <v>12482820</v>
      </c>
      <c r="N51" s="267">
        <v>12115038</v>
      </c>
      <c r="O51" s="267">
        <v>11952354</v>
      </c>
      <c r="P51" s="267">
        <v>9567187</v>
      </c>
      <c r="Q51" s="267">
        <v>11240254</v>
      </c>
      <c r="R51" s="267">
        <v>14378090</v>
      </c>
      <c r="S51" s="1605">
        <v>17561732</v>
      </c>
    </row>
    <row r="52" spans="1:19" ht="15.75" x14ac:dyDescent="0.25">
      <c r="A52" s="265" t="s">
        <v>1916</v>
      </c>
      <c r="B52" s="266"/>
      <c r="C52" s="267">
        <v>28496179</v>
      </c>
      <c r="D52" s="267">
        <v>8238200</v>
      </c>
      <c r="E52" s="1662">
        <v>8314563</v>
      </c>
      <c r="F52" s="267">
        <v>8317954</v>
      </c>
      <c r="G52" s="267">
        <v>8309449</v>
      </c>
      <c r="H52" s="267">
        <v>8296074</v>
      </c>
      <c r="I52" s="267">
        <v>8308924</v>
      </c>
      <c r="J52" s="267">
        <v>9931720</v>
      </c>
      <c r="K52" s="267">
        <v>8810004</v>
      </c>
      <c r="L52" s="267">
        <v>10559860</v>
      </c>
      <c r="M52" s="267">
        <v>10276547</v>
      </c>
      <c r="N52" s="267">
        <v>12275374</v>
      </c>
      <c r="O52" s="267">
        <v>11316917</v>
      </c>
      <c r="P52" s="267">
        <v>11189016</v>
      </c>
      <c r="Q52" s="267">
        <v>10449790</v>
      </c>
      <c r="R52" s="267">
        <v>13225754</v>
      </c>
      <c r="S52" s="1605">
        <v>18047644</v>
      </c>
    </row>
    <row r="53" spans="1:19" ht="15.75" x14ac:dyDescent="0.25">
      <c r="A53" s="265" t="s">
        <v>1917</v>
      </c>
      <c r="B53" s="266"/>
      <c r="C53" s="267">
        <v>32867347</v>
      </c>
      <c r="D53" s="267">
        <v>15473230</v>
      </c>
      <c r="E53" s="1662">
        <v>15536074</v>
      </c>
      <c r="F53" s="267">
        <v>15593798</v>
      </c>
      <c r="G53" s="267">
        <v>15753015</v>
      </c>
      <c r="H53" s="267">
        <v>15661156</v>
      </c>
      <c r="I53" s="267">
        <v>15543045</v>
      </c>
      <c r="J53" s="267">
        <v>15835215</v>
      </c>
      <c r="K53" s="267">
        <v>16143980</v>
      </c>
      <c r="L53" s="267">
        <v>16683553</v>
      </c>
      <c r="M53" s="267">
        <v>17976375</v>
      </c>
      <c r="N53" s="267">
        <v>19483452</v>
      </c>
      <c r="O53" s="267">
        <v>18285813</v>
      </c>
      <c r="P53" s="267">
        <v>17743381</v>
      </c>
      <c r="Q53" s="267">
        <v>16802306</v>
      </c>
      <c r="R53" s="267">
        <v>21406314</v>
      </c>
      <c r="S53" s="1605">
        <v>24279226</v>
      </c>
    </row>
    <row r="54" spans="1:19" ht="15.75" x14ac:dyDescent="0.25">
      <c r="A54" s="265" t="s">
        <v>1918</v>
      </c>
      <c r="B54" s="266"/>
      <c r="C54" s="267">
        <v>48529459</v>
      </c>
      <c r="D54" s="267">
        <v>19863082</v>
      </c>
      <c r="E54" s="1662">
        <v>20010052</v>
      </c>
      <c r="F54" s="267">
        <v>20034008</v>
      </c>
      <c r="G54" s="267">
        <v>20259098</v>
      </c>
      <c r="H54" s="267">
        <v>20090102</v>
      </c>
      <c r="I54" s="267">
        <v>20556916</v>
      </c>
      <c r="J54" s="267">
        <v>24334053</v>
      </c>
      <c r="K54" s="267">
        <v>21527675</v>
      </c>
      <c r="L54" s="267">
        <v>26119840</v>
      </c>
      <c r="M54" s="267">
        <v>25411793</v>
      </c>
      <c r="N54" s="267">
        <v>30266606</v>
      </c>
      <c r="O54" s="267">
        <v>28906838</v>
      </c>
      <c r="P54" s="267">
        <v>27702268</v>
      </c>
      <c r="Q54" s="267">
        <v>23530674</v>
      </c>
      <c r="R54" s="267">
        <v>32752600</v>
      </c>
      <c r="S54" s="1605">
        <v>38010312</v>
      </c>
    </row>
    <row r="55" spans="1:19" ht="15.75" x14ac:dyDescent="0.25">
      <c r="A55" s="265" t="s">
        <v>1919</v>
      </c>
      <c r="B55" s="266"/>
      <c r="C55" s="267">
        <v>32220179</v>
      </c>
      <c r="D55" s="267">
        <v>13404732</v>
      </c>
      <c r="E55" s="1662">
        <v>13481429</v>
      </c>
      <c r="F55" s="267">
        <v>13469500</v>
      </c>
      <c r="G55" s="267">
        <v>13514808</v>
      </c>
      <c r="H55" s="267">
        <v>13488015</v>
      </c>
      <c r="I55" s="267">
        <v>13409266</v>
      </c>
      <c r="J55" s="267">
        <v>13438321</v>
      </c>
      <c r="K55" s="267">
        <v>14248404</v>
      </c>
      <c r="L55" s="267">
        <v>14045630</v>
      </c>
      <c r="M55" s="267">
        <v>17122273</v>
      </c>
      <c r="N55" s="267">
        <v>15243838</v>
      </c>
      <c r="O55" s="267">
        <v>16869826</v>
      </c>
      <c r="P55" s="267">
        <v>13442537</v>
      </c>
      <c r="Q55" s="267">
        <v>17665334</v>
      </c>
      <c r="R55" s="267">
        <v>19873651</v>
      </c>
      <c r="S55" s="1605">
        <v>23851886</v>
      </c>
    </row>
    <row r="56" spans="1:19" ht="15.75" x14ac:dyDescent="0.25">
      <c r="A56" s="265" t="s">
        <v>1920</v>
      </c>
      <c r="B56" s="266"/>
      <c r="C56" s="267">
        <v>32220179</v>
      </c>
      <c r="D56" s="267">
        <v>12974671</v>
      </c>
      <c r="E56" s="1662">
        <v>13046612</v>
      </c>
      <c r="F56" s="267">
        <v>13059522</v>
      </c>
      <c r="G56" s="267">
        <v>13134594</v>
      </c>
      <c r="H56" s="267">
        <v>13182013</v>
      </c>
      <c r="I56" s="267">
        <v>13197080</v>
      </c>
      <c r="J56" s="267">
        <v>13262030</v>
      </c>
      <c r="K56" s="267">
        <v>14094940</v>
      </c>
      <c r="L56" s="267">
        <v>14238924</v>
      </c>
      <c r="M56" s="267">
        <v>16580788</v>
      </c>
      <c r="N56" s="267">
        <v>15617956</v>
      </c>
      <c r="O56" s="267">
        <v>16469930</v>
      </c>
      <c r="P56" s="267">
        <v>13415957</v>
      </c>
      <c r="Q56" s="267">
        <v>17193680</v>
      </c>
      <c r="R56" s="267">
        <v>19294391</v>
      </c>
      <c r="S56" s="1605">
        <v>22905096</v>
      </c>
    </row>
    <row r="57" spans="1:19" ht="15.75" x14ac:dyDescent="0.25">
      <c r="A57" s="265" t="s">
        <v>1921</v>
      </c>
      <c r="B57" s="266"/>
      <c r="C57" s="267">
        <v>23792467</v>
      </c>
      <c r="D57" s="267">
        <v>10281101</v>
      </c>
      <c r="E57" s="1662">
        <v>10370738</v>
      </c>
      <c r="F57" s="267">
        <v>10378961</v>
      </c>
      <c r="G57" s="267">
        <v>10392238</v>
      </c>
      <c r="H57" s="267">
        <v>10379983</v>
      </c>
      <c r="I57" s="267">
        <v>11985610</v>
      </c>
      <c r="J57" s="267">
        <v>12043402</v>
      </c>
      <c r="K57" s="267">
        <v>12251002</v>
      </c>
      <c r="L57" s="267">
        <v>13635917</v>
      </c>
      <c r="M57" s="267">
        <v>11785967</v>
      </c>
      <c r="N57" s="267">
        <v>13864210</v>
      </c>
      <c r="O57" s="267">
        <v>13179375</v>
      </c>
      <c r="P57" s="267">
        <v>13583068</v>
      </c>
      <c r="Q57" s="267">
        <v>14348078</v>
      </c>
      <c r="R57" s="267">
        <v>15507586</v>
      </c>
      <c r="S57" s="1605">
        <v>15195202</v>
      </c>
    </row>
    <row r="58" spans="1:19" ht="15.75" x14ac:dyDescent="0.25">
      <c r="A58" s="265" t="s">
        <v>1484</v>
      </c>
      <c r="B58" s="266"/>
      <c r="C58" s="267">
        <v>33442323</v>
      </c>
      <c r="D58" s="267">
        <v>13877567</v>
      </c>
      <c r="E58" s="1662">
        <v>13986113</v>
      </c>
      <c r="F58" s="267">
        <v>14047319</v>
      </c>
      <c r="G58" s="267">
        <v>13267740</v>
      </c>
      <c r="H58" s="267">
        <v>14045436</v>
      </c>
      <c r="I58" s="267">
        <v>12874654</v>
      </c>
      <c r="J58" s="267">
        <v>14013064</v>
      </c>
      <c r="K58" s="267">
        <v>13496039</v>
      </c>
      <c r="L58" s="267">
        <v>14885241</v>
      </c>
      <c r="M58" s="267">
        <v>14708639</v>
      </c>
      <c r="N58" s="267">
        <v>15582796</v>
      </c>
      <c r="O58" s="267">
        <v>17722219</v>
      </c>
      <c r="P58" s="267">
        <v>14851158</v>
      </c>
      <c r="Q58" s="267">
        <v>15898662</v>
      </c>
      <c r="R58" s="267">
        <v>18502533</v>
      </c>
      <c r="S58" s="1605">
        <v>20953382</v>
      </c>
    </row>
    <row r="59" spans="1:19" ht="15.75" x14ac:dyDescent="0.25">
      <c r="A59" s="265" t="s">
        <v>1922</v>
      </c>
      <c r="B59" s="266"/>
      <c r="C59" s="267">
        <v>33442323</v>
      </c>
      <c r="D59" s="267">
        <v>13804453</v>
      </c>
      <c r="E59" s="1662">
        <v>13899264</v>
      </c>
      <c r="F59" s="267">
        <v>13996250</v>
      </c>
      <c r="G59" s="267">
        <v>14013235</v>
      </c>
      <c r="H59" s="267">
        <v>14092395</v>
      </c>
      <c r="I59" s="267">
        <v>14116083</v>
      </c>
      <c r="J59" s="267">
        <v>14105207</v>
      </c>
      <c r="K59" s="267">
        <v>14680480</v>
      </c>
      <c r="L59" s="267">
        <v>14924405</v>
      </c>
      <c r="M59" s="267">
        <v>16200915</v>
      </c>
      <c r="N59" s="267">
        <v>16732672</v>
      </c>
      <c r="O59" s="267">
        <v>16356261</v>
      </c>
      <c r="P59" s="267">
        <v>14704114</v>
      </c>
      <c r="Q59" s="267">
        <v>15586586</v>
      </c>
      <c r="R59" s="267">
        <v>19954983</v>
      </c>
      <c r="S59" s="1605">
        <v>22830728</v>
      </c>
    </row>
    <row r="60" spans="1:19" ht="15.75" x14ac:dyDescent="0.25">
      <c r="A60" s="265" t="s">
        <v>1923</v>
      </c>
      <c r="B60" s="266"/>
      <c r="C60" s="267">
        <v>32787475</v>
      </c>
      <c r="D60" s="267">
        <v>17818336</v>
      </c>
      <c r="E60" s="1662">
        <v>17923905</v>
      </c>
      <c r="F60" s="267">
        <v>17974087</v>
      </c>
      <c r="G60" s="267">
        <v>17936848</v>
      </c>
      <c r="H60" s="267">
        <v>18053144</v>
      </c>
      <c r="I60" s="267">
        <v>17610419</v>
      </c>
      <c r="J60" s="267">
        <v>18095308</v>
      </c>
      <c r="K60" s="267">
        <v>18083193</v>
      </c>
      <c r="L60" s="267">
        <v>18517270</v>
      </c>
      <c r="M60" s="267">
        <v>18719626</v>
      </c>
      <c r="N60" s="266">
        <v>19126532</v>
      </c>
      <c r="O60" s="267">
        <v>21416080</v>
      </c>
      <c r="P60" s="267">
        <v>18270829</v>
      </c>
      <c r="Q60" s="267">
        <v>19490168</v>
      </c>
      <c r="R60" s="267">
        <v>22881650</v>
      </c>
      <c r="S60" s="1605">
        <v>25391742</v>
      </c>
    </row>
    <row r="61" spans="1:19" ht="15.75" x14ac:dyDescent="0.25">
      <c r="A61" s="265" t="s">
        <v>1924</v>
      </c>
      <c r="B61" s="266"/>
      <c r="C61" s="267">
        <v>24384019</v>
      </c>
      <c r="D61" s="267">
        <v>10423698</v>
      </c>
      <c r="E61" s="1662">
        <v>10504901</v>
      </c>
      <c r="F61" s="267">
        <v>10722446</v>
      </c>
      <c r="G61" s="267">
        <v>10490470</v>
      </c>
      <c r="H61" s="267">
        <v>10597302</v>
      </c>
      <c r="I61" s="267">
        <v>9929431</v>
      </c>
      <c r="J61" s="267">
        <v>10697864</v>
      </c>
      <c r="K61" s="267">
        <v>10167315</v>
      </c>
      <c r="L61" s="267">
        <v>10981063</v>
      </c>
      <c r="M61" s="267">
        <v>12543695</v>
      </c>
      <c r="N61" s="266">
        <v>11955574</v>
      </c>
      <c r="O61" s="267">
        <v>13181981</v>
      </c>
      <c r="P61" s="267">
        <v>10548730</v>
      </c>
      <c r="Q61" s="267">
        <v>11672528</v>
      </c>
      <c r="R61" s="267">
        <v>14537199</v>
      </c>
      <c r="S61" s="1605">
        <v>16977964</v>
      </c>
    </row>
    <row r="62" spans="1:19" ht="15.75" x14ac:dyDescent="0.25">
      <c r="A62" s="265" t="s">
        <v>1925</v>
      </c>
      <c r="B62" s="266"/>
      <c r="C62" s="267">
        <v>41902099</v>
      </c>
      <c r="D62" s="267">
        <v>15563978</v>
      </c>
      <c r="E62" s="1662">
        <v>15674699</v>
      </c>
      <c r="F62" s="267">
        <v>15931728</v>
      </c>
      <c r="G62" s="267">
        <v>15751329</v>
      </c>
      <c r="H62" s="267">
        <v>15841975</v>
      </c>
      <c r="I62" s="267">
        <v>17370707</v>
      </c>
      <c r="J62" s="267">
        <v>17531063</v>
      </c>
      <c r="K62" s="267">
        <v>17823810</v>
      </c>
      <c r="L62" s="267">
        <v>18027377</v>
      </c>
      <c r="M62" s="267">
        <v>18456456</v>
      </c>
      <c r="N62" s="266">
        <v>19426234</v>
      </c>
      <c r="O62" s="267">
        <v>20142867</v>
      </c>
      <c r="P62" s="267">
        <v>17674982</v>
      </c>
      <c r="Q62" s="267">
        <v>17530440</v>
      </c>
      <c r="R62" s="267">
        <v>23832017</v>
      </c>
      <c r="S62" s="1605">
        <v>28608224</v>
      </c>
    </row>
    <row r="63" spans="1:19" ht="15.75" x14ac:dyDescent="0.25">
      <c r="A63" s="265" t="s">
        <v>1926</v>
      </c>
      <c r="B63" s="266"/>
      <c r="C63" s="268">
        <v>41902099</v>
      </c>
      <c r="D63" s="267">
        <v>14266728</v>
      </c>
      <c r="E63" s="1664">
        <v>14377291</v>
      </c>
      <c r="F63" s="268">
        <v>14554003</v>
      </c>
      <c r="G63" s="268">
        <v>14459103</v>
      </c>
      <c r="H63" s="268">
        <v>14544082</v>
      </c>
      <c r="I63" s="268">
        <v>15272647</v>
      </c>
      <c r="J63" s="267">
        <v>15451144</v>
      </c>
      <c r="K63" s="268">
        <v>15802964</v>
      </c>
      <c r="L63" s="268">
        <v>16077525</v>
      </c>
      <c r="M63" s="268">
        <v>17780679</v>
      </c>
      <c r="N63" s="270">
        <v>17937826</v>
      </c>
      <c r="O63" s="268">
        <v>18303605</v>
      </c>
      <c r="P63" s="268">
        <v>15736223</v>
      </c>
      <c r="Q63" s="268">
        <v>19356662</v>
      </c>
      <c r="R63" s="267">
        <v>21513915</v>
      </c>
      <c r="S63" s="1605">
        <v>27507328</v>
      </c>
    </row>
    <row r="64" spans="1:19" ht="15.75" x14ac:dyDescent="0.25">
      <c r="A64" s="265" t="s">
        <v>1933</v>
      </c>
      <c r="B64" s="266"/>
      <c r="C64" s="267">
        <v>28901395</v>
      </c>
      <c r="D64" s="267">
        <v>7314124</v>
      </c>
      <c r="E64" s="1662">
        <v>7362831</v>
      </c>
      <c r="F64" s="267">
        <v>7377027</v>
      </c>
      <c r="G64" s="267">
        <v>7821625</v>
      </c>
      <c r="H64" s="267">
        <v>7377027</v>
      </c>
      <c r="I64" s="267">
        <v>7824011</v>
      </c>
      <c r="J64" s="267">
        <v>7383298</v>
      </c>
      <c r="K64" s="267">
        <v>8439264</v>
      </c>
      <c r="L64" s="267">
        <v>7612295</v>
      </c>
      <c r="M64" s="267">
        <v>10854402</v>
      </c>
      <c r="N64" s="267">
        <v>7947190</v>
      </c>
      <c r="O64" s="267">
        <v>10582443</v>
      </c>
      <c r="P64" s="269">
        <v>28901395</v>
      </c>
      <c r="Q64" s="267">
        <v>13125598</v>
      </c>
      <c r="R64" s="267">
        <v>12560094</v>
      </c>
      <c r="S64" s="1605">
        <v>13038214</v>
      </c>
    </row>
    <row r="65" spans="1:19" ht="15.75" x14ac:dyDescent="0.25">
      <c r="A65" s="265" t="s">
        <v>1934</v>
      </c>
      <c r="B65" s="266"/>
      <c r="C65" s="267">
        <v>96509971</v>
      </c>
      <c r="D65" s="267">
        <v>24464005</v>
      </c>
      <c r="E65" s="1662">
        <v>24696100</v>
      </c>
      <c r="F65" s="267">
        <v>24710799</v>
      </c>
      <c r="G65" s="267">
        <v>24726974</v>
      </c>
      <c r="H65" s="267">
        <v>24710799</v>
      </c>
      <c r="I65" s="267">
        <v>25595910</v>
      </c>
      <c r="J65" s="267">
        <v>24824347</v>
      </c>
      <c r="K65" s="267">
        <v>27515440</v>
      </c>
      <c r="L65" s="267">
        <v>25995246</v>
      </c>
      <c r="M65" s="267">
        <v>30421952</v>
      </c>
      <c r="N65" s="266">
        <v>26736030</v>
      </c>
      <c r="O65" s="267">
        <v>30494743</v>
      </c>
      <c r="P65" s="269">
        <v>96509971</v>
      </c>
      <c r="Q65" s="1599">
        <v>96509971</v>
      </c>
      <c r="R65" s="267">
        <v>34296437</v>
      </c>
      <c r="S65" s="1605">
        <v>37866460</v>
      </c>
    </row>
    <row r="66" spans="1:19" ht="15.75" x14ac:dyDescent="0.25">
      <c r="A66" s="265" t="s">
        <v>1927</v>
      </c>
      <c r="B66" s="266"/>
      <c r="C66" s="267">
        <v>32327699</v>
      </c>
      <c r="D66" s="267">
        <v>12788133</v>
      </c>
      <c r="E66" s="1662">
        <v>12890988</v>
      </c>
      <c r="F66" s="267">
        <v>12909048</v>
      </c>
      <c r="G66" s="267">
        <v>12952599</v>
      </c>
      <c r="H66" s="267">
        <v>13012416</v>
      </c>
      <c r="I66" s="267">
        <v>13002166</v>
      </c>
      <c r="J66" s="267">
        <v>13157047</v>
      </c>
      <c r="K66" s="267">
        <v>13873558</v>
      </c>
      <c r="L66" s="267">
        <v>13440333</v>
      </c>
      <c r="M66" s="267">
        <v>14568320</v>
      </c>
      <c r="N66" s="267">
        <v>14589566</v>
      </c>
      <c r="O66" s="267">
        <v>15394243</v>
      </c>
      <c r="P66" s="267">
        <v>13260605</v>
      </c>
      <c r="Q66" s="267">
        <v>18503552</v>
      </c>
      <c r="R66" s="267">
        <v>18250894</v>
      </c>
      <c r="S66" s="1605">
        <v>21998844</v>
      </c>
    </row>
    <row r="67" spans="1:19" ht="15.75" x14ac:dyDescent="0.25">
      <c r="A67" s="265" t="s">
        <v>1928</v>
      </c>
      <c r="B67" s="266"/>
      <c r="C67" s="267">
        <v>48674323</v>
      </c>
      <c r="D67" s="267">
        <v>17178872</v>
      </c>
      <c r="E67" s="1662">
        <v>17296500</v>
      </c>
      <c r="F67" s="267">
        <v>17311889</v>
      </c>
      <c r="G67" s="267">
        <v>17411063</v>
      </c>
      <c r="H67" s="267">
        <v>17452911</v>
      </c>
      <c r="I67" s="267">
        <v>17954549</v>
      </c>
      <c r="J67" s="267">
        <v>17953363</v>
      </c>
      <c r="K67" s="267">
        <v>19352685</v>
      </c>
      <c r="L67" s="267">
        <v>19460853</v>
      </c>
      <c r="M67" s="267">
        <v>20977339</v>
      </c>
      <c r="N67" s="266">
        <v>23142986</v>
      </c>
      <c r="O67" s="267">
        <v>22044417</v>
      </c>
      <c r="P67" s="267">
        <v>20779738</v>
      </c>
      <c r="Q67" s="267">
        <v>26604330</v>
      </c>
      <c r="R67" s="267">
        <v>25659594</v>
      </c>
      <c r="S67" s="1605">
        <v>31155142</v>
      </c>
    </row>
    <row r="68" spans="1:19" ht="15.75" x14ac:dyDescent="0.25">
      <c r="A68" s="265" t="s">
        <v>1929</v>
      </c>
      <c r="B68" s="266"/>
      <c r="C68" s="267">
        <v>48674323</v>
      </c>
      <c r="D68" s="267">
        <v>14954155</v>
      </c>
      <c r="E68" s="1662">
        <v>15062209</v>
      </c>
      <c r="F68" s="267">
        <v>15077514</v>
      </c>
      <c r="G68" s="267">
        <v>15004748</v>
      </c>
      <c r="H68" s="267">
        <v>15106728</v>
      </c>
      <c r="I68" s="267">
        <v>17478927</v>
      </c>
      <c r="J68" s="267">
        <v>16142597</v>
      </c>
      <c r="K68" s="267">
        <v>18690370</v>
      </c>
      <c r="L68" s="267">
        <v>17167783</v>
      </c>
      <c r="M68" s="267">
        <v>18371357</v>
      </c>
      <c r="N68" s="266">
        <v>20327366</v>
      </c>
      <c r="O68" s="267">
        <v>19103865</v>
      </c>
      <c r="P68" s="267">
        <v>16343504</v>
      </c>
      <c r="Q68" s="267">
        <v>24498356</v>
      </c>
      <c r="R68" s="267">
        <v>22213886</v>
      </c>
      <c r="S68" s="1605">
        <v>28148494</v>
      </c>
    </row>
    <row r="69" spans="1:19" ht="15.75" x14ac:dyDescent="0.25">
      <c r="A69" s="259"/>
      <c r="B69" s="272" t="s">
        <v>1475</v>
      </c>
      <c r="C69" s="273">
        <f t="shared" ref="C69:K69" si="2">SUM(C44:C68)</f>
        <v>903440923</v>
      </c>
      <c r="D69" s="273">
        <f t="shared" si="2"/>
        <v>341254529</v>
      </c>
      <c r="E69" s="273">
        <f t="shared" si="2"/>
        <v>343656379</v>
      </c>
      <c r="F69" s="273">
        <f t="shared" si="2"/>
        <v>344917078</v>
      </c>
      <c r="G69" s="1598">
        <f t="shared" si="2"/>
        <v>345658560</v>
      </c>
      <c r="H69" s="273">
        <f t="shared" si="2"/>
        <v>345757761</v>
      </c>
      <c r="I69" s="273">
        <f t="shared" si="2"/>
        <v>351663570</v>
      </c>
      <c r="J69" s="273">
        <f t="shared" si="2"/>
        <v>364868759</v>
      </c>
      <c r="K69" s="273">
        <f t="shared" si="2"/>
        <v>369730324</v>
      </c>
      <c r="L69" s="1598">
        <f t="shared" ref="L69:Q69" si="3">SUM(L44:L68)</f>
        <v>384823720</v>
      </c>
      <c r="M69" s="273">
        <f t="shared" si="3"/>
        <v>414013228</v>
      </c>
      <c r="N69" s="273">
        <f t="shared" si="3"/>
        <v>425684010</v>
      </c>
      <c r="O69" s="273">
        <f t="shared" si="3"/>
        <v>435343369</v>
      </c>
      <c r="P69" s="273">
        <f t="shared" si="3"/>
        <v>478867429</v>
      </c>
      <c r="Q69" s="273">
        <f t="shared" si="3"/>
        <v>500651733</v>
      </c>
      <c r="R69" s="273">
        <f>SUM(R44:R68)</f>
        <v>505547019</v>
      </c>
      <c r="S69" s="273">
        <f>SUM(S44:S68)</f>
        <v>588181778</v>
      </c>
    </row>
    <row r="70" spans="1:19" ht="15.75" x14ac:dyDescent="0.25">
      <c r="A70" s="259"/>
      <c r="B70" s="272" t="s">
        <v>1940</v>
      </c>
      <c r="C70" s="273"/>
      <c r="D70" s="273">
        <f>136.4+128.3+114.9+61.9+92.2+42.1+62.7+35+69.7+101.3+146.3+82.9+82.3+58.8+85.5+90.1+100.2+100.7+108+98.7+57.3+204.9+80.8+120.5+108.9</f>
        <v>2370.4000000000005</v>
      </c>
      <c r="E70" s="273">
        <f>129.1+121+109+59.3+0+33.7+40.8+59.6+66.3+87.7+134.3+87.4+82.2+60.8+87.6+87.4+96.8+61.5+110.7+98.4+61.6+216.9+81.2+120.4+120.5</f>
        <v>2214.2000000000003</v>
      </c>
      <c r="F70" s="273">
        <f>186.9+156.7+161.7+75.5+90.8+41.5+41+81.2+66.8+138.3+193.5+100+95.3+64.1+100.9+109.6+149+80+144.9+128.1+69.4+218.9+86.4+132.2+134.6</f>
        <v>2847.2999999999997</v>
      </c>
      <c r="G70" s="1598">
        <f>133.4+127.5+111.8+59.2+81.2+34.5+42.8+60.8+57.5+91+157.7+84.6+80.3+58.3+87+89.1+101.9+59.7+106.3+99.4+57.5+211.9+79.4+119.7+116.7</f>
        <v>2309.1999999999994</v>
      </c>
      <c r="H70" s="273">
        <f>157.8+149.1+122.7+67+90.9+35.1+48+72.5+72.6+97.3+139.7+90+85.6+60.7+89.7+91.8+61.9+108.8+104.6+59.7+212.4+84.3+123.7+119</f>
        <v>2344.9</v>
      </c>
      <c r="I70" s="273">
        <f>52.6+48.45+32.24+26.23+34+15.28+18.93+25.5+25.12+39.1+53.58+36.2+35.43+24.87+36.81+36.27+32+25.53+43.62+41.22+26.78+87+36.87+53.8+49.95</f>
        <v>937.38</v>
      </c>
      <c r="J70" s="273">
        <f>145.3+153.4+155.8+80.9+116.9+46.8+84.7+79.4+83.5+126.2+215.1+120.8+111.9+93.4+115.8+108.7+83.2+149.9+130.5+65.6+240.7+99.4+139.6+145.9</f>
        <v>2893.4</v>
      </c>
      <c r="K70" s="273">
        <f>19+20+19+9+13+6+9+8+8+17+23+13+15+20+14+13+23+7+15+16+14+72+15+20+20</f>
        <v>428</v>
      </c>
      <c r="L70" s="1598">
        <f>28.71+26.34+26.25+15.08+18.31+8.33+15.27+14.72+15.45+20.99+34.57+18.99+19.8+16.85+19.82+20.09+23.03+14.67+26.2+24.56+15.42+53.06+23.75+30.62+28.28</f>
        <v>559.16</v>
      </c>
      <c r="M70" s="273">
        <f>22+20+19+11+27+4+17+10+19+16+27+21+19+18+27+17+19+12+30+33+19+105+21+28+34</f>
        <v>595</v>
      </c>
      <c r="N70" s="273">
        <f>7+6+5+4+4+1+3+3+4+5+8+5+4+4+4+4+5+3+6+6+3+12+5+6+7</f>
        <v>124</v>
      </c>
      <c r="O70" s="273">
        <f>4+4+3+2+2+1+4+2+2+4+5+2+2+3+3+2+3+1+3+3+2+17+3+3+4</f>
        <v>84</v>
      </c>
      <c r="P70" s="273">
        <f>5.11+6.73+5.67+3.46+4.6+1.75+3.12+3.29+3.87+4.65+7.09+4.46+4.43+3.6+4.76+4.81+4.98+3.45+6.07+5.86+0+0+4.45+6.61+6.39</f>
        <v>109.21000000000001</v>
      </c>
      <c r="Q70" s="273"/>
      <c r="R70" s="273">
        <f>33+20+15+23+32+5+18+22+33+17+26+23+24+18+33+24+14+19+37+44+42+168+28+47+70</f>
        <v>835</v>
      </c>
      <c r="S70" s="264">
        <f>5+4+4+2+4+2+2+7+3+4+3+3+3+5+3+3+2+5+5+6+33+3+5+5</f>
        <v>121</v>
      </c>
    </row>
    <row r="71" spans="1:19" ht="15.75" x14ac:dyDescent="0.25">
      <c r="A71" s="259"/>
      <c r="B71" s="272" t="s">
        <v>1476</v>
      </c>
      <c r="C71" s="273"/>
      <c r="D71" s="273"/>
      <c r="E71" s="275"/>
      <c r="F71" s="273"/>
      <c r="G71" s="273"/>
      <c r="H71" s="275"/>
      <c r="I71" s="273"/>
      <c r="J71" s="273"/>
      <c r="K71" s="273"/>
      <c r="L71" s="275"/>
      <c r="M71" s="273"/>
      <c r="N71" s="273"/>
      <c r="O71" s="273"/>
      <c r="P71" s="1598"/>
      <c r="Q71" s="273"/>
      <c r="R71" s="273"/>
    </row>
    <row r="72" spans="1:19" ht="15.75" x14ac:dyDescent="0.25">
      <c r="A72" s="259"/>
      <c r="B72" s="272"/>
      <c r="C72" s="273"/>
      <c r="D72" s="275"/>
      <c r="E72" s="273"/>
      <c r="F72" s="273"/>
      <c r="G72" s="275"/>
      <c r="H72" s="273"/>
      <c r="I72" s="273"/>
      <c r="J72" s="273"/>
      <c r="K72" s="1598"/>
      <c r="L72" s="273"/>
      <c r="M72" s="273"/>
    </row>
    <row r="73" spans="1:19" ht="15.75" x14ac:dyDescent="0.25">
      <c r="A73" s="1578" t="s">
        <v>1685</v>
      </c>
      <c r="B73" s="277">
        <v>25100288</v>
      </c>
      <c r="C73" s="278" t="s">
        <v>1953</v>
      </c>
      <c r="D73" s="275"/>
      <c r="E73" s="273"/>
      <c r="F73" s="273"/>
      <c r="G73" s="275"/>
      <c r="H73" s="273"/>
      <c r="I73" s="273"/>
      <c r="J73" s="273"/>
      <c r="K73" s="1598"/>
      <c r="L73" s="273"/>
      <c r="M73" s="273"/>
    </row>
    <row r="74" spans="1:19" ht="15.75" x14ac:dyDescent="0.25">
      <c r="A74" s="259"/>
      <c r="B74" s="272"/>
      <c r="C74" s="273"/>
      <c r="D74" s="275"/>
      <c r="E74" s="273"/>
      <c r="F74" s="273"/>
      <c r="G74" s="275"/>
      <c r="H74" s="273"/>
      <c r="I74" s="273"/>
      <c r="J74" s="273"/>
      <c r="K74" s="1598"/>
      <c r="L74" s="273"/>
      <c r="M74" s="273"/>
    </row>
    <row r="75" spans="1:19" ht="15.75" x14ac:dyDescent="0.25">
      <c r="A75" s="1578"/>
      <c r="B75" s="276"/>
      <c r="C75" s="278"/>
      <c r="D75" s="278"/>
      <c r="E75" s="278"/>
      <c r="F75" s="278"/>
      <c r="G75" s="278"/>
      <c r="H75" s="278"/>
    </row>
    <row r="76" spans="1:19" ht="15.75" x14ac:dyDescent="0.25">
      <c r="A76" s="1578"/>
      <c r="B76" s="276"/>
      <c r="C76" s="278"/>
      <c r="D76" s="278"/>
      <c r="E76" s="278"/>
      <c r="F76" s="278"/>
      <c r="G76" s="278"/>
      <c r="H76" s="278"/>
    </row>
    <row r="77" spans="1:19" ht="15" customHeight="1" x14ac:dyDescent="0.25">
      <c r="A77" s="254" t="s">
        <v>1874</v>
      </c>
      <c r="C77" s="256" t="s">
        <v>1438</v>
      </c>
      <c r="D77" s="256" t="s">
        <v>1899</v>
      </c>
      <c r="E77" s="256" t="s">
        <v>1901</v>
      </c>
      <c r="F77" s="256" t="s">
        <v>1900</v>
      </c>
      <c r="G77" s="256" t="s">
        <v>1902</v>
      </c>
      <c r="H77" s="256" t="s">
        <v>1903</v>
      </c>
      <c r="I77" s="256" t="s">
        <v>1497</v>
      </c>
      <c r="J77" s="256" t="s">
        <v>1497</v>
      </c>
    </row>
    <row r="78" spans="1:19" ht="15" customHeight="1" x14ac:dyDescent="0.25">
      <c r="A78" s="259"/>
      <c r="C78" s="256"/>
      <c r="D78" s="256" t="s">
        <v>1496</v>
      </c>
      <c r="E78" s="256" t="s">
        <v>1496</v>
      </c>
      <c r="F78" s="256" t="s">
        <v>1496</v>
      </c>
      <c r="G78" s="256" t="s">
        <v>1496</v>
      </c>
      <c r="H78" s="256" t="s">
        <v>1496</v>
      </c>
      <c r="I78" s="256" t="s">
        <v>1496</v>
      </c>
      <c r="J78" s="256" t="s">
        <v>1498</v>
      </c>
    </row>
    <row r="79" spans="1:19" ht="15" customHeight="1" x14ac:dyDescent="0.25">
      <c r="A79" s="263" t="s">
        <v>1444</v>
      </c>
      <c r="B79" s="264"/>
      <c r="C79" s="279" t="s">
        <v>1500</v>
      </c>
      <c r="D79" s="279"/>
      <c r="E79" s="1301"/>
      <c r="F79" s="1301"/>
      <c r="G79" s="1301"/>
      <c r="H79" s="1301"/>
      <c r="I79" s="1301" t="s">
        <v>1499</v>
      </c>
    </row>
    <row r="80" spans="1:19" ht="15" customHeight="1" x14ac:dyDescent="0.25">
      <c r="A80" s="265" t="s">
        <v>1485</v>
      </c>
      <c r="B80" s="266"/>
      <c r="C80" s="267">
        <v>26943621</v>
      </c>
      <c r="D80" s="280">
        <v>12388</v>
      </c>
      <c r="E80" s="280">
        <v>1403040</v>
      </c>
      <c r="F80" s="280">
        <v>2077017</v>
      </c>
      <c r="G80" s="280"/>
      <c r="H80" s="280"/>
      <c r="I80" s="280">
        <f t="shared" ref="I80:I104" si="4">SUM(D80:H80)</f>
        <v>3492445</v>
      </c>
      <c r="J80" s="281">
        <f t="shared" ref="J80:J105" si="5">I80*1/C80</f>
        <v>0.12962047677259117</v>
      </c>
    </row>
    <row r="81" spans="1:10" ht="15" customHeight="1" x14ac:dyDescent="0.25">
      <c r="A81" s="265" t="s">
        <v>1452</v>
      </c>
      <c r="B81" s="266"/>
      <c r="C81" s="267">
        <v>26501199</v>
      </c>
      <c r="D81" s="280">
        <v>18874</v>
      </c>
      <c r="E81" s="280">
        <v>860256</v>
      </c>
      <c r="F81" s="280">
        <v>3553878</v>
      </c>
      <c r="G81" s="280"/>
      <c r="H81" s="280"/>
      <c r="I81" s="280">
        <f t="shared" si="4"/>
        <v>4433008</v>
      </c>
      <c r="J81" s="281">
        <f t="shared" si="5"/>
        <v>0.16727575231596126</v>
      </c>
    </row>
    <row r="82" spans="1:10" ht="15" customHeight="1" x14ac:dyDescent="0.25">
      <c r="A82" s="265" t="s">
        <v>1453</v>
      </c>
      <c r="B82" s="266"/>
      <c r="C82" s="267">
        <v>24937810</v>
      </c>
      <c r="D82" s="280">
        <v>16966</v>
      </c>
      <c r="E82" s="280">
        <v>1746360</v>
      </c>
      <c r="F82" s="280">
        <v>2795912</v>
      </c>
      <c r="G82" s="280"/>
      <c r="H82" s="280"/>
      <c r="I82" s="280">
        <f t="shared" si="4"/>
        <v>4559238</v>
      </c>
      <c r="J82" s="281">
        <f t="shared" si="5"/>
        <v>0.18282431376291663</v>
      </c>
    </row>
    <row r="83" spans="1:10" ht="15" customHeight="1" x14ac:dyDescent="0.25">
      <c r="A83" s="265" t="s">
        <v>1454</v>
      </c>
      <c r="B83" s="266"/>
      <c r="C83" s="267">
        <v>19901392</v>
      </c>
      <c r="D83" s="280">
        <v>8406</v>
      </c>
      <c r="E83" s="280">
        <v>728279</v>
      </c>
      <c r="F83" s="280"/>
      <c r="G83" s="280"/>
      <c r="H83" s="280"/>
      <c r="I83" s="280">
        <f t="shared" si="4"/>
        <v>736685</v>
      </c>
      <c r="J83" s="281">
        <f t="shared" si="5"/>
        <v>3.7016757420787451E-2</v>
      </c>
    </row>
    <row r="84" spans="1:10" ht="15" customHeight="1" x14ac:dyDescent="0.25">
      <c r="A84" s="265" t="s">
        <v>1455</v>
      </c>
      <c r="B84" s="266"/>
      <c r="C84" s="267">
        <v>26146816</v>
      </c>
      <c r="D84" s="280">
        <v>9493</v>
      </c>
      <c r="E84" s="280">
        <v>627967</v>
      </c>
      <c r="F84" s="280"/>
      <c r="G84" s="280"/>
      <c r="H84" s="280"/>
      <c r="I84" s="280">
        <f t="shared" si="4"/>
        <v>637460</v>
      </c>
      <c r="J84" s="281">
        <f t="shared" si="5"/>
        <v>2.4380023938670007E-2</v>
      </c>
    </row>
    <row r="85" spans="1:10" ht="15" customHeight="1" x14ac:dyDescent="0.25">
      <c r="A85" s="265" t="s">
        <v>1456</v>
      </c>
      <c r="B85" s="266"/>
      <c r="C85" s="267">
        <v>19768256</v>
      </c>
      <c r="D85" s="280">
        <v>8571</v>
      </c>
      <c r="E85" s="280">
        <v>779708</v>
      </c>
      <c r="F85" s="280"/>
      <c r="G85" s="280"/>
      <c r="H85" s="280"/>
      <c r="I85" s="280">
        <f t="shared" si="4"/>
        <v>788279</v>
      </c>
      <c r="J85" s="281">
        <f t="shared" si="5"/>
        <v>3.9876001201117589E-2</v>
      </c>
    </row>
    <row r="86" spans="1:10" ht="15" customHeight="1" x14ac:dyDescent="0.25">
      <c r="A86" s="265" t="s">
        <v>1457</v>
      </c>
      <c r="B86" s="266"/>
      <c r="C86" s="267">
        <v>10583732</v>
      </c>
      <c r="D86" s="280">
        <v>230400</v>
      </c>
      <c r="E86" s="280"/>
      <c r="F86" s="280"/>
      <c r="G86" s="280"/>
      <c r="H86" s="280"/>
      <c r="I86" s="280">
        <f t="shared" si="4"/>
        <v>230400</v>
      </c>
      <c r="J86" s="281">
        <f t="shared" si="5"/>
        <v>2.1769258707608999E-2</v>
      </c>
    </row>
    <row r="87" spans="1:10" ht="15" customHeight="1" x14ac:dyDescent="0.25">
      <c r="A87" s="265" t="s">
        <v>1458</v>
      </c>
      <c r="B87" s="266"/>
      <c r="C87" s="267">
        <v>18432256</v>
      </c>
      <c r="D87" s="280">
        <v>7573</v>
      </c>
      <c r="E87" s="280"/>
      <c r="F87" s="280"/>
      <c r="G87" s="280"/>
      <c r="H87" s="280"/>
      <c r="I87" s="280">
        <f t="shared" si="4"/>
        <v>7573</v>
      </c>
      <c r="J87" s="281">
        <f t="shared" si="5"/>
        <v>4.1085583880779434E-4</v>
      </c>
    </row>
    <row r="88" spans="1:10" ht="15" customHeight="1" x14ac:dyDescent="0.25">
      <c r="A88" s="265" t="s">
        <v>1459</v>
      </c>
      <c r="B88" s="266"/>
      <c r="C88" s="267">
        <v>12513574</v>
      </c>
      <c r="D88" s="1749">
        <v>57600</v>
      </c>
      <c r="E88" s="280">
        <v>797378</v>
      </c>
      <c r="F88" s="280">
        <v>1016655</v>
      </c>
      <c r="G88" s="280"/>
      <c r="H88" s="280"/>
      <c r="I88" s="280">
        <f>SUM(E88:H88)</f>
        <v>1814033</v>
      </c>
      <c r="J88" s="281">
        <f t="shared" si="5"/>
        <v>0.14496521936898282</v>
      </c>
    </row>
    <row r="89" spans="1:10" ht="15" customHeight="1" x14ac:dyDescent="0.25">
      <c r="A89" s="265" t="s">
        <v>1460</v>
      </c>
      <c r="B89" s="266"/>
      <c r="C89" s="267">
        <v>20276750</v>
      </c>
      <c r="D89" s="1749">
        <v>57600</v>
      </c>
      <c r="E89" s="280">
        <v>102457</v>
      </c>
      <c r="F89" s="280">
        <v>938643</v>
      </c>
      <c r="G89" s="280">
        <v>1290134</v>
      </c>
      <c r="H89" s="280"/>
      <c r="I89" s="280">
        <f>SUM(E89:H89)</f>
        <v>2331234</v>
      </c>
      <c r="J89" s="281">
        <f t="shared" si="5"/>
        <v>0.11497079167026274</v>
      </c>
    </row>
    <row r="90" spans="1:10" ht="15" customHeight="1" x14ac:dyDescent="0.25">
      <c r="A90" s="265" t="s">
        <v>1461</v>
      </c>
      <c r="B90" s="266"/>
      <c r="C90" s="267">
        <v>28109879</v>
      </c>
      <c r="D90" s="1749">
        <v>57600</v>
      </c>
      <c r="E90" s="280">
        <v>103522</v>
      </c>
      <c r="F90" s="280">
        <v>932367</v>
      </c>
      <c r="G90" s="280">
        <v>3004310</v>
      </c>
      <c r="H90" s="280"/>
      <c r="I90" s="280">
        <f>SUM(E90:H90)</f>
        <v>4040199</v>
      </c>
      <c r="J90" s="281">
        <f t="shared" si="5"/>
        <v>0.14372879370985553</v>
      </c>
    </row>
    <row r="91" spans="1:10" ht="15" customHeight="1" x14ac:dyDescent="0.25">
      <c r="A91" s="265" t="s">
        <v>1462</v>
      </c>
      <c r="B91" s="266"/>
      <c r="C91" s="267">
        <v>16182707</v>
      </c>
      <c r="D91" s="280">
        <v>8194</v>
      </c>
      <c r="E91" s="280">
        <v>990722</v>
      </c>
      <c r="F91" s="280"/>
      <c r="G91" s="280"/>
      <c r="H91" s="280"/>
      <c r="I91" s="280">
        <f t="shared" si="4"/>
        <v>998916</v>
      </c>
      <c r="J91" s="281">
        <f t="shared" si="5"/>
        <v>6.1727373547577673E-2</v>
      </c>
    </row>
    <row r="92" spans="1:10" ht="15" customHeight="1" x14ac:dyDescent="0.25">
      <c r="A92" s="265" t="s">
        <v>1463</v>
      </c>
      <c r="B92" s="266"/>
      <c r="C92" s="267">
        <v>16152516</v>
      </c>
      <c r="D92" s="280">
        <v>9032</v>
      </c>
      <c r="E92" s="280">
        <v>877947</v>
      </c>
      <c r="F92" s="280"/>
      <c r="G92" s="280"/>
      <c r="H92" s="280"/>
      <c r="I92" s="280">
        <f t="shared" si="4"/>
        <v>886979</v>
      </c>
      <c r="J92" s="281">
        <f t="shared" si="5"/>
        <v>5.4912745481880347E-2</v>
      </c>
    </row>
    <row r="93" spans="1:10" ht="15" customHeight="1" x14ac:dyDescent="0.25">
      <c r="A93" s="265" t="s">
        <v>1464</v>
      </c>
      <c r="B93" s="266"/>
      <c r="C93" s="267">
        <v>19320944</v>
      </c>
      <c r="D93" s="280">
        <v>8366</v>
      </c>
      <c r="E93" s="280">
        <v>1167939</v>
      </c>
      <c r="F93" s="280"/>
      <c r="G93" s="280"/>
      <c r="H93" s="280"/>
      <c r="I93" s="280">
        <f t="shared" si="4"/>
        <v>1176305</v>
      </c>
      <c r="J93" s="281">
        <f t="shared" si="5"/>
        <v>6.0882377175773605E-2</v>
      </c>
    </row>
    <row r="94" spans="1:10" ht="15" customHeight="1" x14ac:dyDescent="0.25">
      <c r="A94" s="265" t="s">
        <v>1484</v>
      </c>
      <c r="B94" s="266"/>
      <c r="C94" s="267">
        <v>19826176</v>
      </c>
      <c r="D94" s="280">
        <v>6065</v>
      </c>
      <c r="E94" s="280">
        <v>704000</v>
      </c>
      <c r="F94" s="280"/>
      <c r="G94" s="280"/>
      <c r="H94" s="280"/>
      <c r="I94" s="280">
        <f t="shared" si="4"/>
        <v>710065</v>
      </c>
      <c r="J94" s="281">
        <f t="shared" si="5"/>
        <v>3.581452116636108E-2</v>
      </c>
    </row>
    <row r="95" spans="1:10" ht="15" customHeight="1" x14ac:dyDescent="0.25">
      <c r="A95" s="265" t="s">
        <v>1465</v>
      </c>
      <c r="B95" s="266"/>
      <c r="C95" s="267">
        <v>19788288</v>
      </c>
      <c r="D95" s="280">
        <v>5736</v>
      </c>
      <c r="E95" s="280">
        <v>666112</v>
      </c>
      <c r="F95" s="280"/>
      <c r="G95" s="280"/>
      <c r="H95" s="280"/>
      <c r="I95" s="280">
        <f t="shared" si="4"/>
        <v>671848</v>
      </c>
      <c r="J95" s="281">
        <f t="shared" si="5"/>
        <v>3.3951800175942459E-2</v>
      </c>
    </row>
    <row r="96" spans="1:10" ht="15" customHeight="1" x14ac:dyDescent="0.25">
      <c r="A96" s="265" t="s">
        <v>1466</v>
      </c>
      <c r="B96" s="266"/>
      <c r="C96" s="267">
        <v>26228938</v>
      </c>
      <c r="D96" s="280">
        <v>57600</v>
      </c>
      <c r="E96" s="280">
        <v>34005</v>
      </c>
      <c r="F96" s="280">
        <v>1325770</v>
      </c>
      <c r="G96" s="280"/>
      <c r="H96" s="280"/>
      <c r="I96" s="280">
        <f t="shared" si="4"/>
        <v>1417375</v>
      </c>
      <c r="J96" s="281">
        <f t="shared" si="5"/>
        <v>5.4038596606541978E-2</v>
      </c>
    </row>
    <row r="97" spans="1:10" ht="15" customHeight="1" x14ac:dyDescent="0.25">
      <c r="A97" s="265" t="s">
        <v>1467</v>
      </c>
      <c r="B97" s="266"/>
      <c r="C97" s="267">
        <v>21659481</v>
      </c>
      <c r="D97" s="280">
        <v>57600</v>
      </c>
      <c r="E97" s="280">
        <v>29399</v>
      </c>
      <c r="F97" s="280">
        <v>3188843</v>
      </c>
      <c r="G97" s="280"/>
      <c r="H97" s="280"/>
      <c r="I97" s="280">
        <f t="shared" si="4"/>
        <v>3275842</v>
      </c>
      <c r="J97" s="281">
        <f t="shared" si="5"/>
        <v>0.15124286680738103</v>
      </c>
    </row>
    <row r="98" spans="1:10" ht="15" customHeight="1" x14ac:dyDescent="0.25">
      <c r="A98" s="265" t="s">
        <v>1468</v>
      </c>
      <c r="B98" s="266"/>
      <c r="C98" s="267">
        <v>39347960</v>
      </c>
      <c r="D98" s="280">
        <v>10144</v>
      </c>
      <c r="E98" s="280">
        <v>326943</v>
      </c>
      <c r="F98" s="280">
        <v>7530480</v>
      </c>
      <c r="G98" s="280"/>
      <c r="H98" s="280"/>
      <c r="I98" s="280">
        <f t="shared" si="4"/>
        <v>7867567</v>
      </c>
      <c r="J98" s="281">
        <f t="shared" si="5"/>
        <v>0.19994853608675012</v>
      </c>
    </row>
    <row r="99" spans="1:10" ht="15" customHeight="1" x14ac:dyDescent="0.25">
      <c r="A99" s="265" t="s">
        <v>1469</v>
      </c>
      <c r="B99" s="266"/>
      <c r="C99" s="268">
        <v>37642656</v>
      </c>
      <c r="D99" s="280">
        <v>6527</v>
      </c>
      <c r="E99" s="280">
        <v>56861</v>
      </c>
      <c r="F99" s="280">
        <v>6098872</v>
      </c>
      <c r="G99" s="280"/>
      <c r="H99" s="280"/>
      <c r="I99" s="280">
        <f t="shared" si="4"/>
        <v>6162260</v>
      </c>
      <c r="J99" s="281">
        <f t="shared" si="5"/>
        <v>0.16370417645343624</v>
      </c>
    </row>
    <row r="100" spans="1:10" ht="15" customHeight="1" x14ac:dyDescent="0.25">
      <c r="A100" s="265" t="s">
        <v>1470</v>
      </c>
      <c r="B100" s="266"/>
      <c r="C100" s="267">
        <v>14337044</v>
      </c>
      <c r="D100" s="280">
        <v>1415818</v>
      </c>
      <c r="E100" s="280">
        <v>15921</v>
      </c>
      <c r="F100" s="280">
        <v>44252</v>
      </c>
      <c r="G100" s="280"/>
      <c r="H100" s="280"/>
      <c r="I100" s="280">
        <f t="shared" si="4"/>
        <v>1475991</v>
      </c>
      <c r="J100" s="281">
        <f t="shared" si="5"/>
        <v>0.102949464338674</v>
      </c>
    </row>
    <row r="101" spans="1:10" ht="15" customHeight="1" x14ac:dyDescent="0.25">
      <c r="A101" s="265" t="s">
        <v>1471</v>
      </c>
      <c r="B101" s="266"/>
      <c r="C101" s="267">
        <v>45761372</v>
      </c>
      <c r="D101" s="280">
        <v>9201425</v>
      </c>
      <c r="E101" s="280">
        <v>14880</v>
      </c>
      <c r="F101" s="280">
        <v>41119</v>
      </c>
      <c r="G101" s="280"/>
      <c r="H101" s="280"/>
      <c r="I101" s="280">
        <f t="shared" si="4"/>
        <v>9257424</v>
      </c>
      <c r="J101" s="281">
        <f t="shared" si="5"/>
        <v>0.20229778075709792</v>
      </c>
    </row>
    <row r="102" spans="1:10" ht="15" customHeight="1" x14ac:dyDescent="0.25">
      <c r="A102" s="265" t="s">
        <v>1472</v>
      </c>
      <c r="B102" s="266"/>
      <c r="C102" s="267">
        <v>17039360</v>
      </c>
      <c r="D102" s="280">
        <v>3893</v>
      </c>
      <c r="E102" s="280">
        <v>684457</v>
      </c>
      <c r="F102" s="280"/>
      <c r="G102" s="280"/>
      <c r="H102" s="280"/>
      <c r="I102" s="280">
        <f t="shared" si="4"/>
        <v>688350</v>
      </c>
      <c r="J102" s="281">
        <f t="shared" si="5"/>
        <v>4.039764404296875E-2</v>
      </c>
    </row>
    <row r="103" spans="1:10" ht="15" customHeight="1" x14ac:dyDescent="0.25">
      <c r="A103" s="265" t="s">
        <v>1473</v>
      </c>
      <c r="B103" s="266"/>
      <c r="C103" s="267">
        <v>25329664</v>
      </c>
      <c r="D103" s="280">
        <v>9265</v>
      </c>
      <c r="E103" s="280">
        <v>822042</v>
      </c>
      <c r="F103" s="280"/>
      <c r="G103" s="280"/>
      <c r="H103" s="280"/>
      <c r="I103" s="280">
        <f t="shared" si="4"/>
        <v>831307</v>
      </c>
      <c r="J103" s="281">
        <f t="shared" si="5"/>
        <v>3.281950364600178E-2</v>
      </c>
    </row>
    <row r="104" spans="1:10" ht="15" customHeight="1" x14ac:dyDescent="0.25">
      <c r="A104" s="265" t="s">
        <v>1474</v>
      </c>
      <c r="B104" s="266"/>
      <c r="C104" s="267">
        <v>25100288</v>
      </c>
      <c r="D104" s="280">
        <v>7752</v>
      </c>
      <c r="E104" s="280">
        <v>593664</v>
      </c>
      <c r="F104" s="280"/>
      <c r="G104" s="280"/>
      <c r="H104" s="280"/>
      <c r="I104" s="280">
        <f t="shared" si="4"/>
        <v>601416</v>
      </c>
      <c r="J104" s="281">
        <f t="shared" si="5"/>
        <v>2.3960521887238902E-2</v>
      </c>
    </row>
    <row r="105" spans="1:10" ht="15" customHeight="1" x14ac:dyDescent="0.25">
      <c r="A105" s="259"/>
      <c r="B105" s="272" t="s">
        <v>1475</v>
      </c>
      <c r="C105" s="273">
        <f>SUM(C80:C104)</f>
        <v>577832679</v>
      </c>
      <c r="D105" s="273"/>
      <c r="E105" s="273"/>
      <c r="F105" s="273"/>
      <c r="G105" s="273"/>
      <c r="H105" s="273"/>
      <c r="I105" s="273">
        <f>SUM(I80:I104)</f>
        <v>59092199</v>
      </c>
      <c r="J105" s="281">
        <f t="shared" si="5"/>
        <v>0.10226524242669217</v>
      </c>
    </row>
    <row r="107" spans="1:10" ht="15.75" x14ac:dyDescent="0.25">
      <c r="A107" s="1578" t="s">
        <v>1685</v>
      </c>
      <c r="B107" s="1750">
        <v>57600</v>
      </c>
      <c r="C107" s="278" t="s">
        <v>2025</v>
      </c>
    </row>
  </sheetData>
  <sortState columnSort="1" ref="E2:F31">
    <sortCondition ref="E30:F30"/>
  </sortState>
  <conditionalFormatting sqref="B5">
    <cfRule type="colorScale" priority="506">
      <colorScale>
        <cfvo type="min"/>
        <cfvo type="max"/>
        <color rgb="FF63BE7B"/>
        <color rgb="FFFFEF9C"/>
      </colorScale>
    </cfRule>
  </conditionalFormatting>
  <conditionalFormatting sqref="B6">
    <cfRule type="colorScale" priority="505">
      <colorScale>
        <cfvo type="min"/>
        <cfvo type="max"/>
        <color rgb="FF63BE7B"/>
        <color rgb="FFFFEF9C"/>
      </colorScale>
    </cfRule>
  </conditionalFormatting>
  <conditionalFormatting sqref="B7">
    <cfRule type="colorScale" priority="504">
      <colorScale>
        <cfvo type="min"/>
        <cfvo type="max"/>
        <color rgb="FF63BE7B"/>
        <color rgb="FFFFEF9C"/>
      </colorScale>
    </cfRule>
  </conditionalFormatting>
  <conditionalFormatting sqref="B8">
    <cfRule type="colorScale" priority="503">
      <colorScale>
        <cfvo type="min"/>
        <cfvo type="max"/>
        <color rgb="FF63BE7B"/>
        <color rgb="FFFFEF9C"/>
      </colorScale>
    </cfRule>
  </conditionalFormatting>
  <conditionalFormatting sqref="B9">
    <cfRule type="colorScale" priority="502">
      <colorScale>
        <cfvo type="min"/>
        <cfvo type="max"/>
        <color rgb="FF63BE7B"/>
        <color rgb="FFFFEF9C"/>
      </colorScale>
    </cfRule>
  </conditionalFormatting>
  <conditionalFormatting sqref="B10">
    <cfRule type="colorScale" priority="501">
      <colorScale>
        <cfvo type="min"/>
        <cfvo type="max"/>
        <color rgb="FF63BE7B"/>
        <color rgb="FFFFEF9C"/>
      </colorScale>
    </cfRule>
  </conditionalFormatting>
  <conditionalFormatting sqref="B11">
    <cfRule type="colorScale" priority="500">
      <colorScale>
        <cfvo type="min"/>
        <cfvo type="max"/>
        <color rgb="FF63BE7B"/>
        <color rgb="FFFFEF9C"/>
      </colorScale>
    </cfRule>
  </conditionalFormatting>
  <conditionalFormatting sqref="B12">
    <cfRule type="colorScale" priority="499">
      <colorScale>
        <cfvo type="min"/>
        <cfvo type="max"/>
        <color rgb="FF63BE7B"/>
        <color rgb="FFFFEF9C"/>
      </colorScale>
    </cfRule>
  </conditionalFormatting>
  <conditionalFormatting sqref="B13">
    <cfRule type="colorScale" priority="498">
      <colorScale>
        <cfvo type="min"/>
        <cfvo type="max"/>
        <color rgb="FF63BE7B"/>
        <color rgb="FFFFEF9C"/>
      </colorScale>
    </cfRule>
  </conditionalFormatting>
  <conditionalFormatting sqref="B14">
    <cfRule type="colorScale" priority="497">
      <colorScale>
        <cfvo type="min"/>
        <cfvo type="max"/>
        <color rgb="FF63BE7B"/>
        <color rgb="FFFFEF9C"/>
      </colorScale>
    </cfRule>
  </conditionalFormatting>
  <conditionalFormatting sqref="B15">
    <cfRule type="colorScale" priority="496">
      <colorScale>
        <cfvo type="min"/>
        <cfvo type="max"/>
        <color rgb="FF63BE7B"/>
        <color rgb="FFFFEF9C"/>
      </colorScale>
    </cfRule>
  </conditionalFormatting>
  <conditionalFormatting sqref="B16">
    <cfRule type="colorScale" priority="495">
      <colorScale>
        <cfvo type="min"/>
        <cfvo type="max"/>
        <color rgb="FF63BE7B"/>
        <color rgb="FFFFEF9C"/>
      </colorScale>
    </cfRule>
  </conditionalFormatting>
  <conditionalFormatting sqref="B17">
    <cfRule type="colorScale" priority="494">
      <colorScale>
        <cfvo type="min"/>
        <cfvo type="max"/>
        <color rgb="FF63BE7B"/>
        <color rgb="FFFFEF9C"/>
      </colorScale>
    </cfRule>
  </conditionalFormatting>
  <conditionalFormatting sqref="B18">
    <cfRule type="colorScale" priority="493">
      <colorScale>
        <cfvo type="min"/>
        <cfvo type="max"/>
        <color rgb="FF63BE7B"/>
        <color rgb="FFFFEF9C"/>
      </colorScale>
    </cfRule>
  </conditionalFormatting>
  <conditionalFormatting sqref="B19">
    <cfRule type="colorScale" priority="492">
      <colorScale>
        <cfvo type="min"/>
        <cfvo type="max"/>
        <color rgb="FF63BE7B"/>
        <color rgb="FFFFEF9C"/>
      </colorScale>
    </cfRule>
  </conditionalFormatting>
  <conditionalFormatting sqref="B20">
    <cfRule type="colorScale" priority="491">
      <colorScale>
        <cfvo type="min"/>
        <cfvo type="max"/>
        <color rgb="FF63BE7B"/>
        <color rgb="FFFFEF9C"/>
      </colorScale>
    </cfRule>
  </conditionalFormatting>
  <conditionalFormatting sqref="B21">
    <cfRule type="colorScale" priority="490">
      <colorScale>
        <cfvo type="min"/>
        <cfvo type="max"/>
        <color rgb="FF63BE7B"/>
        <color rgb="FFFFEF9C"/>
      </colorScale>
    </cfRule>
  </conditionalFormatting>
  <conditionalFormatting sqref="B22">
    <cfRule type="colorScale" priority="489">
      <colorScale>
        <cfvo type="min"/>
        <cfvo type="max"/>
        <color rgb="FF63BE7B"/>
        <color rgb="FFFFEF9C"/>
      </colorScale>
    </cfRule>
  </conditionalFormatting>
  <conditionalFormatting sqref="B23">
    <cfRule type="colorScale" priority="488">
      <colorScale>
        <cfvo type="min"/>
        <cfvo type="max"/>
        <color rgb="FF63BE7B"/>
        <color rgb="FFFFEF9C"/>
      </colorScale>
    </cfRule>
  </conditionalFormatting>
  <conditionalFormatting sqref="B24">
    <cfRule type="colorScale" priority="487">
      <colorScale>
        <cfvo type="min"/>
        <cfvo type="max"/>
        <color rgb="FF63BE7B"/>
        <color rgb="FFFFEF9C"/>
      </colorScale>
    </cfRule>
  </conditionalFormatting>
  <conditionalFormatting sqref="B25">
    <cfRule type="colorScale" priority="486">
      <colorScale>
        <cfvo type="min"/>
        <cfvo type="max"/>
        <color rgb="FF63BE7B"/>
        <color rgb="FFFFEF9C"/>
      </colorScale>
    </cfRule>
  </conditionalFormatting>
  <conditionalFormatting sqref="B26">
    <cfRule type="colorScale" priority="485">
      <colorScale>
        <cfvo type="min"/>
        <cfvo type="max"/>
        <color rgb="FF63BE7B"/>
        <color rgb="FFFFEF9C"/>
      </colorScale>
    </cfRule>
  </conditionalFormatting>
  <conditionalFormatting sqref="B27">
    <cfRule type="colorScale" priority="484">
      <colorScale>
        <cfvo type="min"/>
        <cfvo type="max"/>
        <color rgb="FF63BE7B"/>
        <color rgb="FFFFEF9C"/>
      </colorScale>
    </cfRule>
  </conditionalFormatting>
  <conditionalFormatting sqref="B28">
    <cfRule type="colorScale" priority="483">
      <colorScale>
        <cfvo type="min"/>
        <cfvo type="max"/>
        <color rgb="FF63BE7B"/>
        <color rgb="FFFFEF9C"/>
      </colorScale>
    </cfRule>
  </conditionalFormatting>
  <conditionalFormatting sqref="B29">
    <cfRule type="colorScale" priority="482">
      <colorScale>
        <cfvo type="min"/>
        <cfvo type="max"/>
        <color rgb="FF63BE7B"/>
        <color rgb="FFFFEF9C"/>
      </colorScale>
    </cfRule>
  </conditionalFormatting>
  <conditionalFormatting sqref="B35">
    <cfRule type="colorScale" priority="280">
      <colorScale>
        <cfvo type="min"/>
        <cfvo type="max"/>
        <color rgb="FF63BE7B"/>
        <color rgb="FFFFEF9C"/>
      </colorScale>
    </cfRule>
  </conditionalFormatting>
  <conditionalFormatting sqref="C5:U5">
    <cfRule type="cellIs" dxfId="147" priority="177" operator="equal">
      <formula>MIN($C$5:$U$5)</formula>
    </cfRule>
    <cfRule type="colorScale" priority="22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6:U6">
    <cfRule type="cellIs" dxfId="146" priority="176" operator="equal">
      <formula>MIN($C$6:$U$6)</formula>
    </cfRule>
    <cfRule type="colorScale" priority="25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7:U7">
    <cfRule type="cellIs" dxfId="145" priority="175" operator="equal">
      <formula>MIN($C$7:$U$7)</formula>
    </cfRule>
    <cfRule type="colorScale" priority="25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8:U8">
    <cfRule type="cellIs" dxfId="144" priority="174" operator="equal">
      <formula>MIN($C$8:$U$8)</formula>
    </cfRule>
    <cfRule type="colorScale" priority="25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9:U9">
    <cfRule type="cellIs" dxfId="143" priority="173" operator="equal">
      <formula>MIN($C$9:$U$9)</formula>
    </cfRule>
    <cfRule type="colorScale" priority="25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10:U10">
    <cfRule type="cellIs" dxfId="142" priority="172" operator="equal">
      <formula>MIN($C$10:$U$10)</formula>
    </cfRule>
    <cfRule type="colorScale" priority="24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11:U11">
    <cfRule type="cellIs" dxfId="141" priority="171" operator="equal">
      <formula>MIN($C$11:$U$11)</formula>
    </cfRule>
    <cfRule type="colorScale" priority="24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12:U12">
    <cfRule type="cellIs" dxfId="140" priority="170" operator="equal">
      <formula>MIN($C$12:$U$12)</formula>
    </cfRule>
    <cfRule type="colorScale" priority="24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13:U13">
    <cfRule type="cellIs" dxfId="139" priority="169" operator="equal">
      <formula>MIN($C$13:$U$13)</formula>
    </cfRule>
    <cfRule type="colorScale" priority="24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14:U14">
    <cfRule type="cellIs" dxfId="138" priority="168" operator="equal">
      <formula>MIN($C$14:$U$14)</formula>
    </cfRule>
    <cfRule type="colorScale" priority="24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15:U15">
    <cfRule type="cellIs" dxfId="137" priority="167" operator="equal">
      <formula>MIN($C$15:$U$15)</formula>
    </cfRule>
    <cfRule type="colorScale" priority="24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16:U16">
    <cfRule type="cellIs" dxfId="136" priority="166" operator="equal">
      <formula>MIN($C$16:$U$16)</formula>
    </cfRule>
    <cfRule type="colorScale" priority="24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17:U17">
    <cfRule type="cellIs" dxfId="135" priority="165" operator="equal">
      <formula>MIN($C$17:$U$17)</formula>
    </cfRule>
    <cfRule type="colorScale" priority="24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18:U18">
    <cfRule type="cellIs" dxfId="134" priority="164" operator="equal">
      <formula>MIN($C$18:$U$18)</formula>
    </cfRule>
    <cfRule type="colorScale" priority="24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19:U19">
    <cfRule type="cellIs" dxfId="133" priority="163" operator="equal">
      <formula>MIN($C$19:$U$19)</formula>
    </cfRule>
    <cfRule type="colorScale" priority="24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20:U20">
    <cfRule type="cellIs" dxfId="132" priority="162" operator="equal">
      <formula>MIN($C$20:$U$20)</formula>
    </cfRule>
    <cfRule type="colorScale" priority="23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21:U21">
    <cfRule type="cellIs" dxfId="131" priority="161" operator="equal">
      <formula>MIN($C$21:$U$21)</formula>
    </cfRule>
    <cfRule type="colorScale" priority="23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22:U22">
    <cfRule type="cellIs" dxfId="130" priority="160" operator="equal">
      <formula>MIN($C$22:$U$22)</formula>
    </cfRule>
    <cfRule type="colorScale" priority="23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23:U23">
    <cfRule type="cellIs" dxfId="129" priority="159" operator="equal">
      <formula>MIN($C$23:$U$23)</formula>
    </cfRule>
    <cfRule type="colorScale" priority="23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24:U24">
    <cfRule type="cellIs" dxfId="128" priority="158" operator="equal">
      <formula>MIN($C$24:$U$24)</formula>
    </cfRule>
    <cfRule type="colorScale" priority="23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25:U25">
    <cfRule type="cellIs" dxfId="127" priority="157" operator="equal">
      <formula>MIN($C$25:$U$25)</formula>
    </cfRule>
    <cfRule type="colorScale" priority="23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26:U26">
    <cfRule type="cellIs" dxfId="126" priority="156" operator="equal">
      <formula>MIN($C$26:$U$26)</formula>
    </cfRule>
    <cfRule type="colorScale" priority="23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27:U27">
    <cfRule type="cellIs" dxfId="125" priority="155" operator="equal">
      <formula>MIN($C$27:$U$27)</formula>
    </cfRule>
    <cfRule type="colorScale" priority="23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28:U28">
    <cfRule type="cellIs" dxfId="124" priority="154" operator="equal">
      <formula>MIN($C$28:$U$28)</formula>
    </cfRule>
    <cfRule type="colorScale" priority="23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29:U29">
    <cfRule type="cellIs" dxfId="123" priority="153" operator="equal">
      <formula>MIN($C$29:$U$29)</formula>
    </cfRule>
    <cfRule type="colorScale" priority="23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80">
    <cfRule type="colorScale" priority="227">
      <colorScale>
        <cfvo type="min"/>
        <cfvo type="max"/>
        <color rgb="FF63BE7B"/>
        <color rgb="FFFFEF9C"/>
      </colorScale>
    </cfRule>
  </conditionalFormatting>
  <conditionalFormatting sqref="B81">
    <cfRule type="colorScale" priority="226">
      <colorScale>
        <cfvo type="min"/>
        <cfvo type="max"/>
        <color rgb="FF63BE7B"/>
        <color rgb="FFFFEF9C"/>
      </colorScale>
    </cfRule>
  </conditionalFormatting>
  <conditionalFormatting sqref="B82">
    <cfRule type="colorScale" priority="225">
      <colorScale>
        <cfvo type="min"/>
        <cfvo type="max"/>
        <color rgb="FF63BE7B"/>
        <color rgb="FFFFEF9C"/>
      </colorScale>
    </cfRule>
  </conditionalFormatting>
  <conditionalFormatting sqref="B83">
    <cfRule type="colorScale" priority="224">
      <colorScale>
        <cfvo type="min"/>
        <cfvo type="max"/>
        <color rgb="FF63BE7B"/>
        <color rgb="FFFFEF9C"/>
      </colorScale>
    </cfRule>
  </conditionalFormatting>
  <conditionalFormatting sqref="B84">
    <cfRule type="colorScale" priority="223">
      <colorScale>
        <cfvo type="min"/>
        <cfvo type="max"/>
        <color rgb="FF63BE7B"/>
        <color rgb="FFFFEF9C"/>
      </colorScale>
    </cfRule>
  </conditionalFormatting>
  <conditionalFormatting sqref="B85">
    <cfRule type="colorScale" priority="222">
      <colorScale>
        <cfvo type="min"/>
        <cfvo type="max"/>
        <color rgb="FF63BE7B"/>
        <color rgb="FFFFEF9C"/>
      </colorScale>
    </cfRule>
  </conditionalFormatting>
  <conditionalFormatting sqref="B86">
    <cfRule type="colorScale" priority="221">
      <colorScale>
        <cfvo type="min"/>
        <cfvo type="max"/>
        <color rgb="FF63BE7B"/>
        <color rgb="FFFFEF9C"/>
      </colorScale>
    </cfRule>
  </conditionalFormatting>
  <conditionalFormatting sqref="B87">
    <cfRule type="colorScale" priority="220">
      <colorScale>
        <cfvo type="min"/>
        <cfvo type="max"/>
        <color rgb="FF63BE7B"/>
        <color rgb="FFFFEF9C"/>
      </colorScale>
    </cfRule>
  </conditionalFormatting>
  <conditionalFormatting sqref="B88">
    <cfRule type="colorScale" priority="219">
      <colorScale>
        <cfvo type="min"/>
        <cfvo type="max"/>
        <color rgb="FF63BE7B"/>
        <color rgb="FFFFEF9C"/>
      </colorScale>
    </cfRule>
  </conditionalFormatting>
  <conditionalFormatting sqref="B89">
    <cfRule type="colorScale" priority="218">
      <colorScale>
        <cfvo type="min"/>
        <cfvo type="max"/>
        <color rgb="FF63BE7B"/>
        <color rgb="FFFFEF9C"/>
      </colorScale>
    </cfRule>
  </conditionalFormatting>
  <conditionalFormatting sqref="B90">
    <cfRule type="colorScale" priority="217">
      <colorScale>
        <cfvo type="min"/>
        <cfvo type="max"/>
        <color rgb="FF63BE7B"/>
        <color rgb="FFFFEF9C"/>
      </colorScale>
    </cfRule>
  </conditionalFormatting>
  <conditionalFormatting sqref="B91">
    <cfRule type="colorScale" priority="216">
      <colorScale>
        <cfvo type="min"/>
        <cfvo type="max"/>
        <color rgb="FF63BE7B"/>
        <color rgb="FFFFEF9C"/>
      </colorScale>
    </cfRule>
  </conditionalFormatting>
  <conditionalFormatting sqref="B92">
    <cfRule type="colorScale" priority="215">
      <colorScale>
        <cfvo type="min"/>
        <cfvo type="max"/>
        <color rgb="FF63BE7B"/>
        <color rgb="FFFFEF9C"/>
      </colorScale>
    </cfRule>
  </conditionalFormatting>
  <conditionalFormatting sqref="B93">
    <cfRule type="colorScale" priority="214">
      <colorScale>
        <cfvo type="min"/>
        <cfvo type="max"/>
        <color rgb="FF63BE7B"/>
        <color rgb="FFFFEF9C"/>
      </colorScale>
    </cfRule>
  </conditionalFormatting>
  <conditionalFormatting sqref="B94">
    <cfRule type="colorScale" priority="213">
      <colorScale>
        <cfvo type="min"/>
        <cfvo type="max"/>
        <color rgb="FF63BE7B"/>
        <color rgb="FFFFEF9C"/>
      </colorScale>
    </cfRule>
  </conditionalFormatting>
  <conditionalFormatting sqref="B95">
    <cfRule type="colorScale" priority="212">
      <colorScale>
        <cfvo type="min"/>
        <cfvo type="max"/>
        <color rgb="FF63BE7B"/>
        <color rgb="FFFFEF9C"/>
      </colorScale>
    </cfRule>
  </conditionalFormatting>
  <conditionalFormatting sqref="B96">
    <cfRule type="colorScale" priority="211">
      <colorScale>
        <cfvo type="min"/>
        <cfvo type="max"/>
        <color rgb="FF63BE7B"/>
        <color rgb="FFFFEF9C"/>
      </colorScale>
    </cfRule>
  </conditionalFormatting>
  <conditionalFormatting sqref="B97">
    <cfRule type="colorScale" priority="210">
      <colorScale>
        <cfvo type="min"/>
        <cfvo type="max"/>
        <color rgb="FF63BE7B"/>
        <color rgb="FFFFEF9C"/>
      </colorScale>
    </cfRule>
  </conditionalFormatting>
  <conditionalFormatting sqref="B98">
    <cfRule type="colorScale" priority="209">
      <colorScale>
        <cfvo type="min"/>
        <cfvo type="max"/>
        <color rgb="FF63BE7B"/>
        <color rgb="FFFFEF9C"/>
      </colorScale>
    </cfRule>
  </conditionalFormatting>
  <conditionalFormatting sqref="B99">
    <cfRule type="colorScale" priority="208">
      <colorScale>
        <cfvo type="min"/>
        <cfvo type="max"/>
        <color rgb="FF63BE7B"/>
        <color rgb="FFFFEF9C"/>
      </colorScale>
    </cfRule>
  </conditionalFormatting>
  <conditionalFormatting sqref="B100">
    <cfRule type="colorScale" priority="207">
      <colorScale>
        <cfvo type="min"/>
        <cfvo type="max"/>
        <color rgb="FF63BE7B"/>
        <color rgb="FFFFEF9C"/>
      </colorScale>
    </cfRule>
  </conditionalFormatting>
  <conditionalFormatting sqref="B101">
    <cfRule type="colorScale" priority="206">
      <colorScale>
        <cfvo type="min"/>
        <cfvo type="max"/>
        <color rgb="FF63BE7B"/>
        <color rgb="FFFFEF9C"/>
      </colorScale>
    </cfRule>
  </conditionalFormatting>
  <conditionalFormatting sqref="B102">
    <cfRule type="colorScale" priority="205">
      <colorScale>
        <cfvo type="min"/>
        <cfvo type="max"/>
        <color rgb="FF63BE7B"/>
        <color rgb="FFFFEF9C"/>
      </colorScale>
    </cfRule>
  </conditionalFormatting>
  <conditionalFormatting sqref="B103">
    <cfRule type="colorScale" priority="204">
      <colorScale>
        <cfvo type="min"/>
        <cfvo type="max"/>
        <color rgb="FF63BE7B"/>
        <color rgb="FFFFEF9C"/>
      </colorScale>
    </cfRule>
  </conditionalFormatting>
  <conditionalFormatting sqref="B104">
    <cfRule type="colorScale" priority="203">
      <colorScale>
        <cfvo type="min"/>
        <cfvo type="max"/>
        <color rgb="FF63BE7B"/>
        <color rgb="FFFFEF9C"/>
      </colorScale>
    </cfRule>
  </conditionalFormatting>
  <conditionalFormatting sqref="B44">
    <cfRule type="colorScale" priority="152">
      <colorScale>
        <cfvo type="min"/>
        <cfvo type="max"/>
        <color rgb="FF63BE7B"/>
        <color rgb="FFFFEF9C"/>
      </colorScale>
    </cfRule>
  </conditionalFormatting>
  <conditionalFormatting sqref="B45">
    <cfRule type="colorScale" priority="151">
      <colorScale>
        <cfvo type="min"/>
        <cfvo type="max"/>
        <color rgb="FF63BE7B"/>
        <color rgb="FFFFEF9C"/>
      </colorScale>
    </cfRule>
  </conditionalFormatting>
  <conditionalFormatting sqref="B46">
    <cfRule type="colorScale" priority="150">
      <colorScale>
        <cfvo type="min"/>
        <cfvo type="max"/>
        <color rgb="FF63BE7B"/>
        <color rgb="FFFFEF9C"/>
      </colorScale>
    </cfRule>
  </conditionalFormatting>
  <conditionalFormatting sqref="B47">
    <cfRule type="colorScale" priority="149">
      <colorScale>
        <cfvo type="min"/>
        <cfvo type="max"/>
        <color rgb="FF63BE7B"/>
        <color rgb="FFFFEF9C"/>
      </colorScale>
    </cfRule>
  </conditionalFormatting>
  <conditionalFormatting sqref="B48">
    <cfRule type="colorScale" priority="148">
      <colorScale>
        <cfvo type="min"/>
        <cfvo type="max"/>
        <color rgb="FF63BE7B"/>
        <color rgb="FFFFEF9C"/>
      </colorScale>
    </cfRule>
  </conditionalFormatting>
  <conditionalFormatting sqref="B49">
    <cfRule type="colorScale" priority="147">
      <colorScale>
        <cfvo type="min"/>
        <cfvo type="max"/>
        <color rgb="FF63BE7B"/>
        <color rgb="FFFFEF9C"/>
      </colorScale>
    </cfRule>
  </conditionalFormatting>
  <conditionalFormatting sqref="B50">
    <cfRule type="colorScale" priority="146">
      <colorScale>
        <cfvo type="min"/>
        <cfvo type="max"/>
        <color rgb="FF63BE7B"/>
        <color rgb="FFFFEF9C"/>
      </colorScale>
    </cfRule>
  </conditionalFormatting>
  <conditionalFormatting sqref="B51">
    <cfRule type="colorScale" priority="145">
      <colorScale>
        <cfvo type="min"/>
        <cfvo type="max"/>
        <color rgb="FF63BE7B"/>
        <color rgb="FFFFEF9C"/>
      </colorScale>
    </cfRule>
  </conditionalFormatting>
  <conditionalFormatting sqref="B52">
    <cfRule type="colorScale" priority="144">
      <colorScale>
        <cfvo type="min"/>
        <cfvo type="max"/>
        <color rgb="FF63BE7B"/>
        <color rgb="FFFFEF9C"/>
      </colorScale>
    </cfRule>
  </conditionalFormatting>
  <conditionalFormatting sqref="B53">
    <cfRule type="colorScale" priority="143">
      <colorScale>
        <cfvo type="min"/>
        <cfvo type="max"/>
        <color rgb="FF63BE7B"/>
        <color rgb="FFFFEF9C"/>
      </colorScale>
    </cfRule>
  </conditionalFormatting>
  <conditionalFormatting sqref="B54">
    <cfRule type="colorScale" priority="142">
      <colorScale>
        <cfvo type="min"/>
        <cfvo type="max"/>
        <color rgb="FF63BE7B"/>
        <color rgb="FFFFEF9C"/>
      </colorScale>
    </cfRule>
  </conditionalFormatting>
  <conditionalFormatting sqref="B55">
    <cfRule type="colorScale" priority="141">
      <colorScale>
        <cfvo type="min"/>
        <cfvo type="max"/>
        <color rgb="FF63BE7B"/>
        <color rgb="FFFFEF9C"/>
      </colorScale>
    </cfRule>
  </conditionalFormatting>
  <conditionalFormatting sqref="B56">
    <cfRule type="colorScale" priority="140">
      <colorScale>
        <cfvo type="min"/>
        <cfvo type="max"/>
        <color rgb="FF63BE7B"/>
        <color rgb="FFFFEF9C"/>
      </colorScale>
    </cfRule>
  </conditionalFormatting>
  <conditionalFormatting sqref="B57">
    <cfRule type="colorScale" priority="139">
      <colorScale>
        <cfvo type="min"/>
        <cfvo type="max"/>
        <color rgb="FF63BE7B"/>
        <color rgb="FFFFEF9C"/>
      </colorScale>
    </cfRule>
  </conditionalFormatting>
  <conditionalFormatting sqref="B58">
    <cfRule type="colorScale" priority="138">
      <colorScale>
        <cfvo type="min"/>
        <cfvo type="max"/>
        <color rgb="FF63BE7B"/>
        <color rgb="FFFFEF9C"/>
      </colorScale>
    </cfRule>
  </conditionalFormatting>
  <conditionalFormatting sqref="B59">
    <cfRule type="colorScale" priority="137">
      <colorScale>
        <cfvo type="min"/>
        <cfvo type="max"/>
        <color rgb="FF63BE7B"/>
        <color rgb="FFFFEF9C"/>
      </colorScale>
    </cfRule>
  </conditionalFormatting>
  <conditionalFormatting sqref="B60">
    <cfRule type="colorScale" priority="136">
      <colorScale>
        <cfvo type="min"/>
        <cfvo type="max"/>
        <color rgb="FF63BE7B"/>
        <color rgb="FFFFEF9C"/>
      </colorScale>
    </cfRule>
  </conditionalFormatting>
  <conditionalFormatting sqref="B61">
    <cfRule type="colorScale" priority="135">
      <colorScale>
        <cfvo type="min"/>
        <cfvo type="max"/>
        <color rgb="FF63BE7B"/>
        <color rgb="FFFFEF9C"/>
      </colorScale>
    </cfRule>
  </conditionalFormatting>
  <conditionalFormatting sqref="B62">
    <cfRule type="colorScale" priority="134">
      <colorScale>
        <cfvo type="min"/>
        <cfvo type="max"/>
        <color rgb="FF63BE7B"/>
        <color rgb="FFFFEF9C"/>
      </colorScale>
    </cfRule>
  </conditionalFormatting>
  <conditionalFormatting sqref="B63">
    <cfRule type="colorScale" priority="133">
      <colorScale>
        <cfvo type="min"/>
        <cfvo type="max"/>
        <color rgb="FF63BE7B"/>
        <color rgb="FFFFEF9C"/>
      </colorScale>
    </cfRule>
  </conditionalFormatting>
  <conditionalFormatting sqref="B64">
    <cfRule type="colorScale" priority="132">
      <colorScale>
        <cfvo type="min"/>
        <cfvo type="max"/>
        <color rgb="FF63BE7B"/>
        <color rgb="FFFFEF9C"/>
      </colorScale>
    </cfRule>
  </conditionalFormatting>
  <conditionalFormatting sqref="B65">
    <cfRule type="colorScale" priority="131">
      <colorScale>
        <cfvo type="min"/>
        <cfvo type="max"/>
        <color rgb="FF63BE7B"/>
        <color rgb="FFFFEF9C"/>
      </colorScale>
    </cfRule>
  </conditionalFormatting>
  <conditionalFormatting sqref="B66">
    <cfRule type="colorScale" priority="130">
      <colorScale>
        <cfvo type="min"/>
        <cfvo type="max"/>
        <color rgb="FF63BE7B"/>
        <color rgb="FFFFEF9C"/>
      </colorScale>
    </cfRule>
  </conditionalFormatting>
  <conditionalFormatting sqref="B67">
    <cfRule type="colorScale" priority="129">
      <colorScale>
        <cfvo type="min"/>
        <cfvo type="max"/>
        <color rgb="FF63BE7B"/>
        <color rgb="FFFFEF9C"/>
      </colorScale>
    </cfRule>
  </conditionalFormatting>
  <conditionalFormatting sqref="B68">
    <cfRule type="colorScale" priority="128">
      <colorScale>
        <cfvo type="min"/>
        <cfvo type="max"/>
        <color rgb="FF63BE7B"/>
        <color rgb="FFFFEF9C"/>
      </colorScale>
    </cfRule>
  </conditionalFormatting>
  <conditionalFormatting sqref="C44:S44">
    <cfRule type="colorScale" priority="7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45:S45">
    <cfRule type="colorScale" priority="7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46:S46">
    <cfRule type="colorScale" priority="7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47:S47">
    <cfRule type="colorScale" priority="7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48:S48">
    <cfRule type="colorScale" priority="7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49:S49">
    <cfRule type="colorScale" priority="7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50:S50">
    <cfRule type="colorScale" priority="7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51:S51">
    <cfRule type="colorScale" priority="7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52:S52">
    <cfRule type="colorScale" priority="6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53:S53">
    <cfRule type="colorScale" priority="6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54:S54">
    <cfRule type="colorScale" priority="6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55:S55">
    <cfRule type="colorScale" priority="6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56:S56">
    <cfRule type="colorScale" priority="6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57:S57">
    <cfRule type="colorScale" priority="6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58:S58">
    <cfRule type="colorScale" priority="6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59:S59">
    <cfRule type="colorScale" priority="6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60:S60">
    <cfRule type="colorScale" priority="6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61:S61">
    <cfRule type="colorScale" priority="6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62:S62">
    <cfRule type="colorScale" priority="5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63:S63">
    <cfRule type="colorScale" priority="5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64:S64">
    <cfRule type="colorScale" priority="5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65:S65">
    <cfRule type="colorScale" priority="5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66:S66">
    <cfRule type="colorScale" priority="5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67:S67">
    <cfRule type="colorScale" priority="5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68:S68">
    <cfRule type="colorScale" priority="5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73">
    <cfRule type="colorScale" priority="52">
      <colorScale>
        <cfvo type="min"/>
        <cfvo type="max"/>
        <color rgb="FF63BE7B"/>
        <color rgb="FFFFEF9C"/>
      </colorScale>
    </cfRule>
  </conditionalFormatting>
  <conditionalFormatting sqref="B107">
    <cfRule type="colorScale" priority="51">
      <colorScale>
        <cfvo type="min"/>
        <cfvo type="max"/>
        <color rgb="FF63BE7B"/>
        <color rgb="FFFFEF9C"/>
      </colorScale>
    </cfRule>
  </conditionalFormatting>
  <conditionalFormatting sqref="V5">
    <cfRule type="cellIs" dxfId="122" priority="25" operator="equal">
      <formula>MIN($C$5:$U$5)</formula>
    </cfRule>
    <cfRule type="colorScale" priority="2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V6">
    <cfRule type="cellIs" dxfId="121" priority="24" operator="equal">
      <formula>MIN($C$6:$U$6)</formula>
    </cfRule>
    <cfRule type="colorScale" priority="5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V7">
    <cfRule type="cellIs" dxfId="120" priority="23" operator="equal">
      <formula>MIN($C$7:$U$7)</formula>
    </cfRule>
    <cfRule type="colorScale" priority="4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V8">
    <cfRule type="cellIs" dxfId="119" priority="22" operator="equal">
      <formula>MIN($C$8:$U$8)</formula>
    </cfRule>
    <cfRule type="colorScale" priority="4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V9">
    <cfRule type="cellIs" dxfId="118" priority="21" operator="equal">
      <formula>MIN($C$9:$U$9)</formula>
    </cfRule>
    <cfRule type="colorScale" priority="4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V10">
    <cfRule type="cellIs" dxfId="117" priority="20" operator="equal">
      <formula>MIN($C$10:$U$10)</formula>
    </cfRule>
    <cfRule type="colorScale" priority="4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V11">
    <cfRule type="cellIs" dxfId="116" priority="19" operator="equal">
      <formula>MIN($C$11:$U$11)</formula>
    </cfRule>
    <cfRule type="colorScale" priority="4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V12">
    <cfRule type="cellIs" dxfId="115" priority="18" operator="equal">
      <formula>MIN($C$12:$U$12)</formula>
    </cfRule>
    <cfRule type="colorScale" priority="4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V13">
    <cfRule type="cellIs" dxfId="114" priority="17" operator="equal">
      <formula>MIN($C$13:$U$13)</formula>
    </cfRule>
    <cfRule type="colorScale" priority="4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V14">
    <cfRule type="cellIs" dxfId="113" priority="16" operator="equal">
      <formula>MIN($C$14:$U$14)</formula>
    </cfRule>
    <cfRule type="colorScale" priority="4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V15">
    <cfRule type="cellIs" dxfId="112" priority="15" operator="equal">
      <formula>MIN($C$15:$U$15)</formula>
    </cfRule>
    <cfRule type="colorScale" priority="4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V16">
    <cfRule type="cellIs" dxfId="111" priority="14" operator="equal">
      <formula>MIN($C$16:$U$16)</formula>
    </cfRule>
    <cfRule type="colorScale" priority="4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V17">
    <cfRule type="cellIs" dxfId="110" priority="13" operator="equal">
      <formula>MIN($C$17:$U$17)</formula>
    </cfRule>
    <cfRule type="colorScale" priority="3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V18">
    <cfRule type="cellIs" dxfId="109" priority="12" operator="equal">
      <formula>MIN($C$18:$U$18)</formula>
    </cfRule>
    <cfRule type="colorScale" priority="3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V19">
    <cfRule type="cellIs" dxfId="108" priority="11" operator="equal">
      <formula>MIN($C$19:$U$19)</formula>
    </cfRule>
    <cfRule type="colorScale" priority="3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V20">
    <cfRule type="cellIs" dxfId="107" priority="10" operator="equal">
      <formula>MIN($C$20:$U$20)</formula>
    </cfRule>
    <cfRule type="colorScale" priority="3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V21">
    <cfRule type="cellIs" dxfId="106" priority="9" operator="equal">
      <formula>MIN($C$21:$U$21)</formula>
    </cfRule>
    <cfRule type="colorScale" priority="3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V22">
    <cfRule type="cellIs" dxfId="105" priority="8" operator="equal">
      <formula>MIN($C$22:$U$22)</formula>
    </cfRule>
    <cfRule type="colorScale" priority="3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V23">
    <cfRule type="cellIs" dxfId="104" priority="7" operator="equal">
      <formula>MIN($C$23:$U$23)</formula>
    </cfRule>
    <cfRule type="colorScale" priority="3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V24">
    <cfRule type="cellIs" dxfId="103" priority="6" operator="equal">
      <formula>MIN($C$24:$U$24)</formula>
    </cfRule>
    <cfRule type="colorScale" priority="3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V25">
    <cfRule type="cellIs" dxfId="102" priority="5" operator="equal">
      <formula>MIN($C$25:$U$25)</formula>
    </cfRule>
    <cfRule type="colorScale" priority="3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V26">
    <cfRule type="cellIs" dxfId="101" priority="4" operator="equal">
      <formula>MIN($C$26:$U$26)</formula>
    </cfRule>
    <cfRule type="colorScale" priority="3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V27">
    <cfRule type="cellIs" dxfId="100" priority="3" operator="equal">
      <formula>MIN($C$27:$U$27)</formula>
    </cfRule>
    <cfRule type="colorScale" priority="2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V28">
    <cfRule type="cellIs" dxfId="99" priority="2" operator="equal">
      <formula>MIN($C$28:$U$28)</formula>
    </cfRule>
    <cfRule type="colorScale" priority="2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V29">
    <cfRule type="cellIs" dxfId="98" priority="1" operator="equal">
      <formula>MIN($C$29:$U$29)</formula>
    </cfRule>
    <cfRule type="colorScale" priority="2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hyperlinks>
    <hyperlink ref="P2" r:id="rId1"/>
    <hyperlink ref="R2" r:id="rId2"/>
    <hyperlink ref="T2" r:id="rId3"/>
    <hyperlink ref="O2" r:id="rId4"/>
    <hyperlink ref="L2" r:id="rId5"/>
    <hyperlink ref="A4" r:id="rId6"/>
    <hyperlink ref="U2" r:id="rId7" display="ZIP / GZ"/>
    <hyperlink ref="N2" r:id="rId8"/>
    <hyperlink ref="M2" r:id="rId9"/>
    <hyperlink ref="Q2" r:id="rId10"/>
    <hyperlink ref="D2" r:id="rId11" display="RawSpeedCmp2"/>
    <hyperlink ref="J2" r:id="rId12" display="RawSpeedCmp2"/>
    <hyperlink ref="I2" r:id="rId13" display="RawSpeedCmp2"/>
    <hyperlink ref="K2" r:id="rId14" display="RawSpeedCmp2"/>
    <hyperlink ref="G2" r:id="rId15" display="RawSpeedCmp2"/>
    <hyperlink ref="H2" r:id="rId16" display="RawSpeedCmp2"/>
    <hyperlink ref="A79" r:id="rId17" display="get the test files here"/>
    <hyperlink ref="C79" r:id="rId18" display="JpegSnoop"/>
    <hyperlink ref="A43" r:id="rId19"/>
    <hyperlink ref="I41" r:id="rId20" display="RawSpeedCmp2"/>
    <hyperlink ref="J41" r:id="rId21" display="FLIF 0.1 19.10."/>
    <hyperlink ref="I42" r:id="rId22" display="+ MCM 0.83 -x9"/>
    <hyperlink ref="K41" r:id="rId23" display="RawSpeedCmp2"/>
    <hyperlink ref="M41" r:id="rId24" display="7-Zip 9.30"/>
    <hyperlink ref="O41" r:id="rId25" display="7-Zip 9.30"/>
    <hyperlink ref="K42" r:id="rId26" display="+ MCM 0.83 -x9"/>
    <hyperlink ref="G41" r:id="rId27" display="FLIF 0.1 19.10."/>
    <hyperlink ref="H41" r:id="rId28" display="FLIF 0.1 19.10."/>
    <hyperlink ref="F41" r:id="rId29" display="FLIF 0.1 19.10."/>
    <hyperlink ref="E41" r:id="rId30" display="FLIF 0.1 19.10."/>
    <hyperlink ref="D41" r:id="rId31" display="FLIF 0.1 19.10."/>
    <hyperlink ref="E2" r:id="rId32"/>
  </hyperlinks>
  <pageMargins left="0.7" right="0.7" top="0.78740157499999996" bottom="0.78740157499999996" header="0.3" footer="0.3"/>
  <pageSetup paperSize="9" scale="31" orientation="landscape" r:id="rId33"/>
  <ignoredErrors>
    <ignoredError sqref="I80:I87 I91:I104" formulaRange="1"/>
    <ignoredError sqref="I88" formula="1"/>
  </ignoredErrors>
  <picture r:id="rId34"/>
  <webPublishItems count="3">
    <webPublishItem id="6276" divId="SqueezeChart2015web_6276" sourceType="range" sourceRef="A1:U105" destinationFile="D:\FILES 1989 - 2015\Files 2015\camera-raww.htm"/>
    <webPublishItem id="15735" divId="SqueezeChart2015web_15735" sourceType="range" sourceRef="A41:H69" destinationFile="C:\Users\SqueezeChart2014\Downloads\camera-raw.htm"/>
    <webPublishItem id="24459" divId="SqueezeChart2015web_24459" sourceType="range" sourceRef="A41:K70" destinationFile="D:\FILES 1989 - 2015\Files 2015\camera-raw4.html"/>
  </webPublishItem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N26"/>
  <sheetViews>
    <sheetView showGridLines="0" workbookViewId="0">
      <selection activeCell="C2" sqref="C2"/>
    </sheetView>
  </sheetViews>
  <sheetFormatPr baseColWidth="10" defaultRowHeight="15" x14ac:dyDescent="0.25"/>
  <cols>
    <col min="1" max="1" width="5.7109375" customWidth="1"/>
    <col min="3" max="3" width="4.7109375" customWidth="1"/>
    <col min="4" max="8" width="15.85546875" style="1772" customWidth="1"/>
    <col min="9" max="10" width="17.28515625" customWidth="1"/>
    <col min="11" max="12" width="15.85546875" customWidth="1"/>
    <col min="13" max="13" width="17.7109375" customWidth="1"/>
  </cols>
  <sheetData>
    <row r="1" spans="1:13" ht="60" x14ac:dyDescent="0.8">
      <c r="C1" s="1337" t="s">
        <v>2027</v>
      </c>
    </row>
    <row r="3" spans="1:13" ht="15.75" x14ac:dyDescent="0.25">
      <c r="A3" s="1783"/>
      <c r="B3" s="1782" t="s">
        <v>2028</v>
      </c>
      <c r="C3" s="255"/>
      <c r="D3" s="256" t="s">
        <v>1438</v>
      </c>
      <c r="E3" s="2427" t="s">
        <v>2325</v>
      </c>
      <c r="F3" s="2038" t="s">
        <v>2113</v>
      </c>
      <c r="G3" s="2422" t="s">
        <v>2144</v>
      </c>
      <c r="H3" s="2422" t="s">
        <v>2143</v>
      </c>
      <c r="I3" s="2427" t="s">
        <v>2349</v>
      </c>
      <c r="J3" s="2422" t="s">
        <v>2324</v>
      </c>
      <c r="K3" s="2422" t="s">
        <v>2322</v>
      </c>
      <c r="L3" s="257" t="s">
        <v>2323</v>
      </c>
      <c r="M3" s="257" t="s">
        <v>2323</v>
      </c>
    </row>
    <row r="4" spans="1:13" ht="15.75" x14ac:dyDescent="0.25">
      <c r="B4" s="259"/>
      <c r="C4" s="255"/>
      <c r="D4" s="256"/>
      <c r="E4" s="262" t="s">
        <v>2048</v>
      </c>
      <c r="F4" s="260" t="s">
        <v>2049</v>
      </c>
      <c r="G4" s="260"/>
      <c r="H4" s="260"/>
      <c r="I4" s="262"/>
      <c r="J4" s="2485"/>
      <c r="K4" s="260"/>
      <c r="L4" s="2038" t="s">
        <v>1448</v>
      </c>
      <c r="M4" s="2423" t="s">
        <v>1448</v>
      </c>
    </row>
    <row r="5" spans="1:13" x14ac:dyDescent="0.25">
      <c r="B5" s="1622" t="s">
        <v>1444</v>
      </c>
      <c r="C5" s="264"/>
      <c r="D5" s="264"/>
      <c r="E5" s="2424"/>
      <c r="F5"/>
      <c r="G5"/>
      <c r="H5"/>
      <c r="J5" s="2423"/>
      <c r="K5" s="2485"/>
      <c r="L5" s="2038" t="s">
        <v>2047</v>
      </c>
      <c r="M5" s="2423"/>
    </row>
    <row r="6" spans="1:13" x14ac:dyDescent="0.25">
      <c r="B6" s="1622"/>
      <c r="C6" s="264"/>
      <c r="D6" s="264"/>
      <c r="E6" s="2424"/>
      <c r="F6"/>
      <c r="G6"/>
      <c r="H6"/>
      <c r="J6" s="2423"/>
      <c r="K6" s="2485"/>
      <c r="L6" s="2038"/>
      <c r="M6" s="2423"/>
    </row>
    <row r="7" spans="1:13" x14ac:dyDescent="0.25">
      <c r="B7" s="265" t="s">
        <v>2029</v>
      </c>
      <c r="D7" s="1605">
        <v>16502398</v>
      </c>
      <c r="E7" s="2421">
        <v>7115825</v>
      </c>
      <c r="F7" s="1862">
        <v>7121103</v>
      </c>
      <c r="G7" s="1862">
        <v>7895511</v>
      </c>
      <c r="H7" s="1862">
        <v>7966720</v>
      </c>
      <c r="I7" s="2059">
        <v>8697142</v>
      </c>
      <c r="J7" s="1605">
        <v>8943344</v>
      </c>
      <c r="K7" s="1605">
        <v>8959297</v>
      </c>
      <c r="L7" s="1605">
        <v>9781667</v>
      </c>
      <c r="M7" s="1605">
        <v>10529128</v>
      </c>
    </row>
    <row r="8" spans="1:13" x14ac:dyDescent="0.25">
      <c r="B8" s="265" t="s">
        <v>2030</v>
      </c>
      <c r="D8" s="1605">
        <v>17189944</v>
      </c>
      <c r="E8" s="2421">
        <v>9714098</v>
      </c>
      <c r="F8" s="1862">
        <v>9716356</v>
      </c>
      <c r="G8" s="1862">
        <v>11364544</v>
      </c>
      <c r="H8" s="1862">
        <v>11560960</v>
      </c>
      <c r="I8" s="2059">
        <v>11503104</v>
      </c>
      <c r="J8" s="1605">
        <v>11705107</v>
      </c>
      <c r="K8" s="2421">
        <v>11778113</v>
      </c>
      <c r="L8" s="1605">
        <v>13238516</v>
      </c>
      <c r="M8" s="1605">
        <v>14607428</v>
      </c>
    </row>
    <row r="9" spans="1:13" x14ac:dyDescent="0.25">
      <c r="B9" s="265" t="s">
        <v>2031</v>
      </c>
      <c r="D9" s="1605">
        <v>17463526</v>
      </c>
      <c r="E9" s="2421">
        <v>11657038</v>
      </c>
      <c r="F9" s="1862">
        <v>11659894</v>
      </c>
      <c r="G9" s="2059">
        <v>13140095</v>
      </c>
      <c r="H9" s="1862">
        <v>13393920</v>
      </c>
      <c r="I9" s="2059">
        <v>13212921</v>
      </c>
      <c r="J9" s="1605">
        <v>13175117</v>
      </c>
      <c r="K9" s="2421">
        <v>13297168</v>
      </c>
      <c r="L9" s="1605">
        <v>14880499</v>
      </c>
      <c r="M9" s="1605">
        <v>16421915</v>
      </c>
    </row>
    <row r="10" spans="1:13" x14ac:dyDescent="0.25">
      <c r="B10" s="265" t="s">
        <v>2032</v>
      </c>
      <c r="D10" s="1605">
        <v>16908288</v>
      </c>
      <c r="E10" s="2421">
        <v>9937369</v>
      </c>
      <c r="F10" s="1862">
        <v>9949614</v>
      </c>
      <c r="G10" s="1862">
        <v>10826088</v>
      </c>
      <c r="H10" s="1862">
        <v>10977280</v>
      </c>
      <c r="I10" s="2059">
        <v>11698725</v>
      </c>
      <c r="J10" s="1605">
        <v>11748270</v>
      </c>
      <c r="K10" s="2421">
        <v>11794598</v>
      </c>
      <c r="L10" s="1605">
        <v>13209691</v>
      </c>
      <c r="M10" s="1605">
        <v>15161778</v>
      </c>
    </row>
    <row r="11" spans="1:13" x14ac:dyDescent="0.25">
      <c r="B11" s="265" t="s">
        <v>2033</v>
      </c>
      <c r="D11" s="1605">
        <v>16941056</v>
      </c>
      <c r="E11" s="2421">
        <v>10487725</v>
      </c>
      <c r="F11" s="1862">
        <v>10493937</v>
      </c>
      <c r="G11" s="1862">
        <v>12007328</v>
      </c>
      <c r="H11" s="1862">
        <v>12154880</v>
      </c>
      <c r="I11" s="2059">
        <v>12241105</v>
      </c>
      <c r="J11" s="1605">
        <v>12211977</v>
      </c>
      <c r="K11" s="2421">
        <v>12279630</v>
      </c>
      <c r="L11" s="1605">
        <v>13001799</v>
      </c>
      <c r="M11" s="1605">
        <v>14322073</v>
      </c>
    </row>
    <row r="12" spans="1:13" x14ac:dyDescent="0.25">
      <c r="B12" s="265" t="s">
        <v>2034</v>
      </c>
      <c r="D12" s="1605">
        <v>16973824</v>
      </c>
      <c r="E12" s="2421">
        <v>7059349</v>
      </c>
      <c r="F12" s="1862">
        <v>7071236</v>
      </c>
      <c r="G12" s="1862">
        <v>8119813</v>
      </c>
      <c r="H12" s="1862">
        <v>8273920</v>
      </c>
      <c r="I12" s="2059">
        <v>9072489</v>
      </c>
      <c r="J12" s="1605">
        <v>9003767</v>
      </c>
      <c r="K12" s="2421">
        <v>9012938</v>
      </c>
      <c r="L12" s="1605">
        <v>10008955</v>
      </c>
      <c r="M12" s="1605">
        <v>10729275</v>
      </c>
    </row>
    <row r="13" spans="1:13" x14ac:dyDescent="0.25">
      <c r="B13" s="265" t="s">
        <v>2035</v>
      </c>
      <c r="D13" s="1605">
        <v>16809984</v>
      </c>
      <c r="E13" s="2421">
        <v>6639436</v>
      </c>
      <c r="F13" s="1862">
        <v>6647946</v>
      </c>
      <c r="G13" s="1862">
        <v>7664382</v>
      </c>
      <c r="H13" s="1862">
        <v>7782400</v>
      </c>
      <c r="I13" s="2059">
        <v>8615679</v>
      </c>
      <c r="J13" s="1605">
        <v>8567944</v>
      </c>
      <c r="K13" s="2421">
        <v>8584129</v>
      </c>
      <c r="L13" s="1605">
        <v>9316663</v>
      </c>
      <c r="M13" s="1605">
        <v>9841549</v>
      </c>
    </row>
    <row r="14" spans="1:13" x14ac:dyDescent="0.25">
      <c r="B14" s="265" t="s">
        <v>2036</v>
      </c>
      <c r="D14" s="1605">
        <v>16973824</v>
      </c>
      <c r="E14" s="2421">
        <v>10238457</v>
      </c>
      <c r="F14" s="1862">
        <v>10232933</v>
      </c>
      <c r="G14" s="1862">
        <v>11262997</v>
      </c>
      <c r="H14" s="1862">
        <v>11397120</v>
      </c>
      <c r="I14" s="2059">
        <v>12039828</v>
      </c>
      <c r="J14" s="1605">
        <v>12104674</v>
      </c>
      <c r="K14" s="2421">
        <v>12188323</v>
      </c>
      <c r="L14" s="1605">
        <v>13378666</v>
      </c>
      <c r="M14" s="1605">
        <v>15120090</v>
      </c>
    </row>
    <row r="15" spans="1:13" x14ac:dyDescent="0.25">
      <c r="B15" s="265" t="s">
        <v>2037</v>
      </c>
      <c r="D15" s="1605">
        <v>16941056</v>
      </c>
      <c r="E15" s="2421">
        <v>10003625</v>
      </c>
      <c r="F15" s="1862">
        <v>9999523</v>
      </c>
      <c r="G15" s="1862">
        <v>11330784</v>
      </c>
      <c r="H15" s="1862">
        <v>11468800</v>
      </c>
      <c r="I15" s="2059">
        <v>11821378</v>
      </c>
      <c r="J15" s="1605">
        <v>11854064</v>
      </c>
      <c r="K15" s="2421">
        <v>11924295</v>
      </c>
      <c r="L15" s="1605">
        <v>13129822</v>
      </c>
      <c r="M15" s="1605">
        <v>14840123</v>
      </c>
    </row>
    <row r="16" spans="1:13" x14ac:dyDescent="0.25">
      <c r="B16" s="265" t="s">
        <v>2038</v>
      </c>
      <c r="D16" s="1605">
        <v>16842752</v>
      </c>
      <c r="E16" s="2421">
        <v>9389292</v>
      </c>
      <c r="F16" s="1862">
        <v>9389031</v>
      </c>
      <c r="G16" s="1862">
        <v>10526386</v>
      </c>
      <c r="H16" s="1862">
        <v>10649600</v>
      </c>
      <c r="I16" s="2059">
        <v>11191153</v>
      </c>
      <c r="J16" s="1605">
        <v>11421433</v>
      </c>
      <c r="K16" s="2421">
        <v>11481561</v>
      </c>
      <c r="L16" s="1605">
        <v>12605335</v>
      </c>
      <c r="M16" s="1605">
        <v>14202203</v>
      </c>
    </row>
    <row r="17" spans="2:14" x14ac:dyDescent="0.25">
      <c r="B17" s="265" t="s">
        <v>2039</v>
      </c>
      <c r="D17" s="1605">
        <v>17006592</v>
      </c>
      <c r="E17" s="2421">
        <v>9999343</v>
      </c>
      <c r="F17" s="1862">
        <v>9995659</v>
      </c>
      <c r="G17" s="1862">
        <v>10957296</v>
      </c>
      <c r="H17" s="1862">
        <v>11100160</v>
      </c>
      <c r="I17" s="2059">
        <v>11753415</v>
      </c>
      <c r="J17" s="1605">
        <v>11717763</v>
      </c>
      <c r="K17" s="2421">
        <v>11840972</v>
      </c>
      <c r="L17" s="1605">
        <v>13122382</v>
      </c>
      <c r="M17" s="1605">
        <v>14770570</v>
      </c>
    </row>
    <row r="18" spans="2:14" x14ac:dyDescent="0.25">
      <c r="B18" s="265" t="s">
        <v>2040</v>
      </c>
      <c r="D18" s="1605">
        <v>16908288</v>
      </c>
      <c r="E18" s="2421">
        <v>9668521</v>
      </c>
      <c r="F18" s="1862">
        <v>9674831</v>
      </c>
      <c r="G18" s="1862">
        <v>11272155</v>
      </c>
      <c r="H18" s="1862">
        <v>11397120</v>
      </c>
      <c r="I18" s="2059">
        <v>11528188</v>
      </c>
      <c r="J18" s="1605">
        <v>11578066</v>
      </c>
      <c r="K18" s="2421">
        <v>11676338</v>
      </c>
      <c r="L18" s="1605">
        <v>12555923</v>
      </c>
      <c r="M18" s="1605">
        <v>13665357</v>
      </c>
    </row>
    <row r="19" spans="2:14" x14ac:dyDescent="0.25">
      <c r="B19" s="265" t="s">
        <v>2041</v>
      </c>
      <c r="D19" s="1605">
        <v>17072128</v>
      </c>
      <c r="E19" s="2421">
        <v>10520886</v>
      </c>
      <c r="F19" s="1862">
        <v>10532417</v>
      </c>
      <c r="G19" s="1862">
        <v>12203193</v>
      </c>
      <c r="H19" s="1862">
        <v>12380160</v>
      </c>
      <c r="I19" s="2059">
        <v>12267369</v>
      </c>
      <c r="J19" s="1605">
        <v>12320014</v>
      </c>
      <c r="K19" s="2421">
        <v>12382801</v>
      </c>
      <c r="L19" s="1605">
        <v>13875595</v>
      </c>
      <c r="M19" s="1605">
        <v>15486314</v>
      </c>
    </row>
    <row r="20" spans="2:14" x14ac:dyDescent="0.25">
      <c r="B20" s="265" t="s">
        <v>2042</v>
      </c>
      <c r="D20" s="1605">
        <v>17301504</v>
      </c>
      <c r="E20" s="2421">
        <v>12048474</v>
      </c>
      <c r="F20" s="1862">
        <v>12050754</v>
      </c>
      <c r="G20" s="1862">
        <v>13915366</v>
      </c>
      <c r="H20" s="1862">
        <v>14110720</v>
      </c>
      <c r="I20" s="2059">
        <v>13704901</v>
      </c>
      <c r="J20" s="1605">
        <v>13684993</v>
      </c>
      <c r="K20" s="2421">
        <v>13784574</v>
      </c>
      <c r="L20" s="1605">
        <v>15251949</v>
      </c>
      <c r="M20" s="1605">
        <v>16716907</v>
      </c>
    </row>
    <row r="21" spans="2:14" x14ac:dyDescent="0.25">
      <c r="B21" s="265" t="s">
        <v>2043</v>
      </c>
      <c r="D21" s="1605">
        <v>17334272</v>
      </c>
      <c r="E21" s="2421">
        <v>11381459</v>
      </c>
      <c r="F21" s="1862">
        <v>11384908</v>
      </c>
      <c r="G21" s="1862">
        <v>13350463</v>
      </c>
      <c r="H21" s="1862">
        <v>13557760</v>
      </c>
      <c r="I21" s="2059">
        <v>13246766</v>
      </c>
      <c r="J21" s="1605">
        <v>13294243</v>
      </c>
      <c r="K21" s="2421">
        <v>13394834</v>
      </c>
      <c r="L21" s="1605">
        <v>14712505</v>
      </c>
      <c r="M21" s="1605">
        <v>16289415</v>
      </c>
    </row>
    <row r="22" spans="2:14" x14ac:dyDescent="0.25">
      <c r="B22" s="265" t="s">
        <v>2044</v>
      </c>
      <c r="D22" s="1605">
        <v>16809984</v>
      </c>
      <c r="E22" s="2421">
        <v>10228337</v>
      </c>
      <c r="F22" s="1862">
        <v>10233746</v>
      </c>
      <c r="G22" s="1862">
        <v>11371091</v>
      </c>
      <c r="H22" s="1862">
        <v>11479040</v>
      </c>
      <c r="I22" s="2059">
        <v>11526382</v>
      </c>
      <c r="J22" s="1605">
        <v>11611731</v>
      </c>
      <c r="K22" s="2421">
        <v>11652850</v>
      </c>
      <c r="L22" s="1605">
        <v>12825185</v>
      </c>
      <c r="M22" s="1605">
        <v>14493606</v>
      </c>
    </row>
    <row r="23" spans="2:14" x14ac:dyDescent="0.25">
      <c r="B23" s="265" t="s">
        <v>2045</v>
      </c>
      <c r="D23" s="1605">
        <v>17006592</v>
      </c>
      <c r="E23" s="2421">
        <v>10301908</v>
      </c>
      <c r="F23" s="1862">
        <v>10304656</v>
      </c>
      <c r="G23" s="1862">
        <v>11550966</v>
      </c>
      <c r="H23" s="1862">
        <v>11694080</v>
      </c>
      <c r="I23" s="2059">
        <v>12072144</v>
      </c>
      <c r="J23" s="1605">
        <v>12131253</v>
      </c>
      <c r="K23" s="2421">
        <v>12218370</v>
      </c>
      <c r="L23" s="1605">
        <v>13447861</v>
      </c>
      <c r="M23" s="1605">
        <v>15072883</v>
      </c>
    </row>
    <row r="24" spans="2:14" x14ac:dyDescent="0.25">
      <c r="B24" s="265" t="s">
        <v>2046</v>
      </c>
      <c r="D24" s="1605">
        <v>16744448</v>
      </c>
      <c r="E24" s="2421">
        <v>6215226</v>
      </c>
      <c r="F24" s="1862">
        <v>6220683</v>
      </c>
      <c r="G24" s="1862">
        <v>6536935</v>
      </c>
      <c r="H24" s="1862">
        <v>6645760</v>
      </c>
      <c r="I24" s="2059">
        <v>7943486</v>
      </c>
      <c r="J24" s="1605">
        <v>8119206</v>
      </c>
      <c r="K24" s="2421">
        <v>8120641</v>
      </c>
      <c r="L24" s="1605">
        <v>8386951</v>
      </c>
      <c r="M24" s="1605">
        <v>9207722</v>
      </c>
    </row>
    <row r="25" spans="2:14" x14ac:dyDescent="0.25">
      <c r="D25" s="1781">
        <f t="shared" ref="D25:M25" si="0">SUM(D7:D24)</f>
        <v>305730460</v>
      </c>
      <c r="E25" s="1781">
        <f t="shared" si="0"/>
        <v>172606368</v>
      </c>
      <c r="F25" s="1781">
        <f t="shared" si="0"/>
        <v>172679227</v>
      </c>
      <c r="G25" s="1781">
        <f t="shared" si="0"/>
        <v>195295393</v>
      </c>
      <c r="H25" s="1781">
        <f t="shared" si="0"/>
        <v>197990400</v>
      </c>
      <c r="I25" s="1781">
        <f t="shared" si="0"/>
        <v>204136175</v>
      </c>
      <c r="J25" s="1781">
        <f t="shared" si="0"/>
        <v>205192966</v>
      </c>
      <c r="K25" s="1781">
        <f t="shared" si="0"/>
        <v>206371432</v>
      </c>
      <c r="L25" s="1781">
        <f t="shared" si="0"/>
        <v>226729964</v>
      </c>
      <c r="M25" s="1781">
        <f t="shared" si="0"/>
        <v>251478336</v>
      </c>
    </row>
    <row r="26" spans="2:14" ht="15.75" x14ac:dyDescent="0.25">
      <c r="C26" s="272" t="s">
        <v>1940</v>
      </c>
      <c r="D26" s="2038"/>
      <c r="E26" s="2038">
        <f>183.8+214.1+271.2+217.4+202.8+199.6+199.7+205.5+208.1+199.8+209.6+198.2+207.7+221.8+223.4+192.5+204+201.9</f>
        <v>3761.1</v>
      </c>
      <c r="F26" s="2038">
        <f>181+231.2+217.2+201.7+203.6+188.9+185.6+197.7+214.4+230.5+255.6+200.6+211.2+225+210.1+194.1+206.9+190.1</f>
        <v>3745.3999999999996</v>
      </c>
      <c r="G26" s="2038">
        <f>115.5+124.9+119.6+122.8+180.3+173.6+111.7+165.8+145.9+122.5+123+133.6+136+161.2+217.9+256.8+203.9+121.1</f>
        <v>2736.1000000000004</v>
      </c>
      <c r="H26" s="2037">
        <f>128.5+195.9+200.6+116.1+132.3+154.7+119.2+122.1+103.8+131.2+119.4+124.8+129.9+131.4+136.2+138.6+137.3+129.4+133.4+130.9+91.6</f>
        <v>2807.3000000000006</v>
      </c>
      <c r="I26" s="2038">
        <f>1.8+2+2+2.3+1.9+2.9+1.7+2.5+3.1+2.9+2.7+2.2+2.4+2.6+2.8+2+1.9+2.3</f>
        <v>41.999999999999993</v>
      </c>
      <c r="J26" s="2038">
        <f>6.2+6.4+6.7+6.1+6.2+5.8+6+6.2+6.2+6.3+6.4+6.2+7.2+6.5+6.5+6.1+6.4+5.9</f>
        <v>113.30000000000001</v>
      </c>
      <c r="K26" s="2423">
        <f>9.2+9+9.4+9.3+8.6+8.6+6.3+7.9+7.8+8.1+8.6+7.1+7.5+7.6+7.7+7.1+7.3+6.5</f>
        <v>143.6</v>
      </c>
      <c r="L26" s="2038">
        <v>143</v>
      </c>
      <c r="M26" s="2038"/>
      <c r="N26" s="2058"/>
    </row>
  </sheetData>
  <sortState columnSort="1" ref="I3:K26">
    <sortCondition ref="I25:K25"/>
  </sortState>
  <conditionalFormatting sqref="D7:M7">
    <cfRule type="dataBar" priority="19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{12DD3720-75CF-440A-AFB9-43D64F379C45}</x14:id>
        </ext>
      </extLst>
    </cfRule>
  </conditionalFormatting>
  <conditionalFormatting sqref="D8:M8">
    <cfRule type="dataBar" priority="18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{51D3A453-8EB8-482F-8763-CFD420300427}</x14:id>
        </ext>
      </extLst>
    </cfRule>
  </conditionalFormatting>
  <conditionalFormatting sqref="D9:M9">
    <cfRule type="dataBar" priority="17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{0703C51F-7DF3-4966-8D82-99D613C52132}</x14:id>
        </ext>
      </extLst>
    </cfRule>
  </conditionalFormatting>
  <conditionalFormatting sqref="D10:M10">
    <cfRule type="dataBar" priority="16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{EEF4C2DC-0E6D-41D6-9B86-E05660BE4479}</x14:id>
        </ext>
      </extLst>
    </cfRule>
  </conditionalFormatting>
  <conditionalFormatting sqref="D11:M11">
    <cfRule type="dataBar" priority="15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{0F1AB043-0FBF-49FF-BAEB-DC6E92F6365A}</x14:id>
        </ext>
      </extLst>
    </cfRule>
  </conditionalFormatting>
  <conditionalFormatting sqref="D12:M12">
    <cfRule type="dataBar" priority="14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{793C5194-D39B-4EEB-BA81-5F144DB6CB52}</x14:id>
        </ext>
      </extLst>
    </cfRule>
  </conditionalFormatting>
  <conditionalFormatting sqref="D13:M13">
    <cfRule type="dataBar" priority="13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{7CC4A9FE-40B0-4AE3-8DF5-E2A118EE65E8}</x14:id>
        </ext>
      </extLst>
    </cfRule>
  </conditionalFormatting>
  <conditionalFormatting sqref="D14:M14">
    <cfRule type="dataBar" priority="12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{5CFBFF8A-2EB7-4760-AE25-2464497608E0}</x14:id>
        </ext>
      </extLst>
    </cfRule>
  </conditionalFormatting>
  <conditionalFormatting sqref="D15:M15">
    <cfRule type="dataBar" priority="11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{6AF7B62F-BDA5-4227-A79D-33F71B575A1B}</x14:id>
        </ext>
      </extLst>
    </cfRule>
  </conditionalFormatting>
  <conditionalFormatting sqref="D16:M16">
    <cfRule type="dataBar" priority="10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{8BD23AB8-61C7-42DF-8DA4-6B8875937F06}</x14:id>
        </ext>
      </extLst>
    </cfRule>
  </conditionalFormatting>
  <conditionalFormatting sqref="D17:M17">
    <cfRule type="dataBar" priority="9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{B0904373-78A6-4249-A11A-BDC146C40141}</x14:id>
        </ext>
      </extLst>
    </cfRule>
  </conditionalFormatting>
  <conditionalFormatting sqref="D18:M18">
    <cfRule type="dataBar" priority="8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{DCF9BF81-BA62-485A-A6FC-F49F3757DF8A}</x14:id>
        </ext>
      </extLst>
    </cfRule>
  </conditionalFormatting>
  <conditionalFormatting sqref="D19:M19">
    <cfRule type="dataBar" priority="7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{2D87DCED-46B7-42AD-A3E2-F7B17D614889}</x14:id>
        </ext>
      </extLst>
    </cfRule>
  </conditionalFormatting>
  <conditionalFormatting sqref="D20:M20">
    <cfRule type="dataBar" priority="6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{6922AD30-4633-41B0-88D3-FCB94B553BBF}</x14:id>
        </ext>
      </extLst>
    </cfRule>
  </conditionalFormatting>
  <conditionalFormatting sqref="D21:M21">
    <cfRule type="dataBar" priority="5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{4E50B197-C477-4583-AAC6-1BFD72962CAF}</x14:id>
        </ext>
      </extLst>
    </cfRule>
  </conditionalFormatting>
  <conditionalFormatting sqref="D22:M22">
    <cfRule type="dataBar" priority="4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{707CD40E-7BDF-43AE-B4BE-861BBEFCFD44}</x14:id>
        </ext>
      </extLst>
    </cfRule>
  </conditionalFormatting>
  <conditionalFormatting sqref="D23:M23">
    <cfRule type="dataBar" priority="3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{5BF24409-D0EB-4865-A9B9-D38F87398986}</x14:id>
        </ext>
      </extLst>
    </cfRule>
  </conditionalFormatting>
  <conditionalFormatting sqref="D24:M24">
    <cfRule type="dataBar" priority="2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{94B08B9F-E7BB-42AC-A420-10BCA344B444}</x14:id>
        </ext>
      </extLst>
    </cfRule>
  </conditionalFormatting>
  <conditionalFormatting sqref="D25:M25">
    <cfRule type="dataBar" priority="1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{E5B6EC20-2C6B-4CE1-ADA8-4DC85943C345}</x14:id>
        </ext>
      </extLst>
    </cfRule>
  </conditionalFormatting>
  <hyperlinks>
    <hyperlink ref="B5" r:id="rId1"/>
    <hyperlink ref="M3" r:id="rId2" display="7-Zip 9.30"/>
    <hyperlink ref="L3" r:id="rId3" display="7-Zip 9.30"/>
    <hyperlink ref="G3" r:id="rId4"/>
    <hyperlink ref="H3" r:id="rId5"/>
    <hyperlink ref="K3" r:id="rId6"/>
    <hyperlink ref="J3" r:id="rId7" display="PackRAW 0.0.1"/>
    <hyperlink ref="I3" r:id="rId8"/>
    <hyperlink ref="E3" r:id="rId9"/>
  </hyperlinks>
  <pageMargins left="0.7" right="0.7" top="0.78740157499999996" bottom="0.78740157499999996" header="0.3" footer="0.3"/>
  <pageSetup paperSize="9" orientation="portrait" r:id="rId10"/>
  <picture r:id="rId11"/>
  <webPublishItems count="1">
    <webPublishItem id="1783" divId="SqueezeChart2017web_1783" sourceType="range" sourceRef="A3:K26" destinationFile="D:\FILES 1989 - 2017\Files 2017\packraw.html"/>
  </webPublishItem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12DD3720-75CF-440A-AFB9-43D64F379C45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D7:M7</xm:sqref>
        </x14:conditionalFormatting>
        <x14:conditionalFormatting xmlns:xm="http://schemas.microsoft.com/office/excel/2006/main">
          <x14:cfRule type="dataBar" id="{51D3A453-8EB8-482F-8763-CFD420300427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D8:M8</xm:sqref>
        </x14:conditionalFormatting>
        <x14:conditionalFormatting xmlns:xm="http://schemas.microsoft.com/office/excel/2006/main">
          <x14:cfRule type="dataBar" id="{0703C51F-7DF3-4966-8D82-99D613C52132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D9:M9</xm:sqref>
        </x14:conditionalFormatting>
        <x14:conditionalFormatting xmlns:xm="http://schemas.microsoft.com/office/excel/2006/main">
          <x14:cfRule type="dataBar" id="{EEF4C2DC-0E6D-41D6-9B86-E05660BE4479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D10:M10</xm:sqref>
        </x14:conditionalFormatting>
        <x14:conditionalFormatting xmlns:xm="http://schemas.microsoft.com/office/excel/2006/main">
          <x14:cfRule type="dataBar" id="{0F1AB043-0FBF-49FF-BAEB-DC6E92F6365A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D11:M11</xm:sqref>
        </x14:conditionalFormatting>
        <x14:conditionalFormatting xmlns:xm="http://schemas.microsoft.com/office/excel/2006/main">
          <x14:cfRule type="dataBar" id="{793C5194-D39B-4EEB-BA81-5F144DB6CB52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D12:M12</xm:sqref>
        </x14:conditionalFormatting>
        <x14:conditionalFormatting xmlns:xm="http://schemas.microsoft.com/office/excel/2006/main">
          <x14:cfRule type="dataBar" id="{7CC4A9FE-40B0-4AE3-8DF5-E2A118EE65E8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D13:M13</xm:sqref>
        </x14:conditionalFormatting>
        <x14:conditionalFormatting xmlns:xm="http://schemas.microsoft.com/office/excel/2006/main">
          <x14:cfRule type="dataBar" id="{5CFBFF8A-2EB7-4760-AE25-2464497608E0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D14:M14</xm:sqref>
        </x14:conditionalFormatting>
        <x14:conditionalFormatting xmlns:xm="http://schemas.microsoft.com/office/excel/2006/main">
          <x14:cfRule type="dataBar" id="{6AF7B62F-BDA5-4227-A79D-33F71B575A1B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D15:M15</xm:sqref>
        </x14:conditionalFormatting>
        <x14:conditionalFormatting xmlns:xm="http://schemas.microsoft.com/office/excel/2006/main">
          <x14:cfRule type="dataBar" id="{8BD23AB8-61C7-42DF-8DA4-6B8875937F06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D16:M16</xm:sqref>
        </x14:conditionalFormatting>
        <x14:conditionalFormatting xmlns:xm="http://schemas.microsoft.com/office/excel/2006/main">
          <x14:cfRule type="dataBar" id="{B0904373-78A6-4249-A11A-BDC146C40141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D17:M17</xm:sqref>
        </x14:conditionalFormatting>
        <x14:conditionalFormatting xmlns:xm="http://schemas.microsoft.com/office/excel/2006/main">
          <x14:cfRule type="dataBar" id="{DCF9BF81-BA62-485A-A6FC-F49F3757DF8A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D18:M18</xm:sqref>
        </x14:conditionalFormatting>
        <x14:conditionalFormatting xmlns:xm="http://schemas.microsoft.com/office/excel/2006/main">
          <x14:cfRule type="dataBar" id="{2D87DCED-46B7-42AD-A3E2-F7B17D614889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D19:M19</xm:sqref>
        </x14:conditionalFormatting>
        <x14:conditionalFormatting xmlns:xm="http://schemas.microsoft.com/office/excel/2006/main">
          <x14:cfRule type="dataBar" id="{6922AD30-4633-41B0-88D3-FCB94B553BBF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D20:M20</xm:sqref>
        </x14:conditionalFormatting>
        <x14:conditionalFormatting xmlns:xm="http://schemas.microsoft.com/office/excel/2006/main">
          <x14:cfRule type="dataBar" id="{4E50B197-C477-4583-AAC6-1BFD72962CAF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D21:M21</xm:sqref>
        </x14:conditionalFormatting>
        <x14:conditionalFormatting xmlns:xm="http://schemas.microsoft.com/office/excel/2006/main">
          <x14:cfRule type="dataBar" id="{707CD40E-7BDF-43AE-B4BE-861BBEFCFD44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D22:M22</xm:sqref>
        </x14:conditionalFormatting>
        <x14:conditionalFormatting xmlns:xm="http://schemas.microsoft.com/office/excel/2006/main">
          <x14:cfRule type="dataBar" id="{5BF24409-D0EB-4865-A9B9-D38F87398986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D23:M23</xm:sqref>
        </x14:conditionalFormatting>
        <x14:conditionalFormatting xmlns:xm="http://schemas.microsoft.com/office/excel/2006/main">
          <x14:cfRule type="dataBar" id="{94B08B9F-E7BB-42AC-A420-10BCA344B444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D24:M24</xm:sqref>
        </x14:conditionalFormatting>
        <x14:conditionalFormatting xmlns:xm="http://schemas.microsoft.com/office/excel/2006/main">
          <x14:cfRule type="dataBar" id="{E5B6EC20-2C6B-4CE1-ADA8-4DC85943C345}">
            <x14:dataBar minLength="0" maxLength="100" border="1" negativeBarBorderColorSameAsPositive="0">
              <x14:cfvo type="autoMin"/>
              <x14:cfvo type="autoMax"/>
              <x14:borderColor rgb="FFFFB628"/>
              <x14:negativeFillColor rgb="FFFF0000"/>
              <x14:negativeBorderColor rgb="FFFF0000"/>
              <x14:axisColor rgb="FF000000"/>
            </x14:dataBar>
          </x14:cfRule>
          <xm:sqref>D25:M25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C000"/>
  </sheetPr>
  <dimension ref="A1:R78"/>
  <sheetViews>
    <sheetView showGridLines="0" topLeftCell="A3" zoomScaleNormal="100" workbookViewId="0">
      <pane ySplit="8" topLeftCell="A11" activePane="bottomLeft" state="frozen"/>
      <selection activeCell="A3" sqref="A3"/>
      <selection pane="bottomLeft" activeCell="E12" sqref="E12"/>
    </sheetView>
  </sheetViews>
  <sheetFormatPr baseColWidth="10" defaultColWidth="9.140625" defaultRowHeight="12.75" x14ac:dyDescent="0.2"/>
  <cols>
    <col min="1" max="1" width="1.7109375" style="138" customWidth="1"/>
    <col min="2" max="2" width="60.7109375" style="138" customWidth="1"/>
    <col min="3" max="3" width="4.5703125" style="138" customWidth="1"/>
    <col min="4" max="4" width="12" style="138" customWidth="1"/>
    <col min="5" max="5" width="7.7109375" style="138" customWidth="1"/>
    <col min="6" max="12" width="17.7109375" style="138" customWidth="1"/>
    <col min="13" max="13" width="5.7109375" style="138" customWidth="1"/>
    <col min="14" max="14" width="50.7109375" style="138" customWidth="1"/>
    <col min="15" max="15" width="2.7109375" style="138" customWidth="1"/>
    <col min="16" max="16" width="6.7109375" style="138" customWidth="1"/>
    <col min="17" max="17" width="13.7109375" style="138" customWidth="1"/>
    <col min="18" max="18" width="8.140625" style="138" customWidth="1"/>
    <col min="19" max="16384" width="9.140625" style="138"/>
  </cols>
  <sheetData>
    <row r="1" spans="1:18" ht="18" customHeight="1" x14ac:dyDescent="0.2">
      <c r="A1" s="656"/>
      <c r="B1" s="143">
        <v>42772.779965277776</v>
      </c>
      <c r="C1" s="4977" t="s">
        <v>2266</v>
      </c>
      <c r="D1" s="4978"/>
      <c r="E1" s="4978"/>
      <c r="F1" s="4978"/>
      <c r="G1" s="4978"/>
      <c r="H1" s="4978"/>
      <c r="I1" s="4978"/>
      <c r="J1" s="4978"/>
      <c r="K1" s="4978"/>
      <c r="L1" s="4978"/>
      <c r="M1" s="1311"/>
      <c r="N1" s="1311"/>
      <c r="O1" s="1311"/>
      <c r="P1" s="1311"/>
      <c r="Q1" s="1311"/>
      <c r="R1" s="1311"/>
    </row>
    <row r="2" spans="1:18" ht="15" customHeight="1" x14ac:dyDescent="0.2">
      <c r="A2" s="656"/>
      <c r="B2" s="144" t="s">
        <v>1141</v>
      </c>
      <c r="C2" s="4978"/>
      <c r="D2" s="4978"/>
      <c r="E2" s="4978"/>
      <c r="F2" s="4978"/>
      <c r="G2" s="4978"/>
      <c r="H2" s="4978"/>
      <c r="I2" s="4978"/>
      <c r="J2" s="4978"/>
      <c r="K2" s="4978"/>
      <c r="L2" s="4978"/>
      <c r="M2" s="1311"/>
      <c r="N2" s="1311"/>
      <c r="O2" s="1311"/>
      <c r="P2" s="1311"/>
      <c r="Q2" s="1311"/>
      <c r="R2" s="1311"/>
    </row>
    <row r="3" spans="1:18" ht="60" customHeight="1" x14ac:dyDescent="0.2">
      <c r="A3" s="656"/>
      <c r="B3" s="143">
        <v>43087.570289351854</v>
      </c>
      <c r="C3" s="4979"/>
      <c r="D3" s="4979"/>
      <c r="E3" s="4979"/>
      <c r="F3" s="4979"/>
      <c r="G3" s="4979"/>
      <c r="H3" s="4979"/>
      <c r="I3" s="4979"/>
      <c r="J3" s="4979"/>
      <c r="K3" s="4979"/>
      <c r="L3" s="4979"/>
      <c r="M3" s="1311"/>
      <c r="N3" s="1311"/>
      <c r="O3" s="1311"/>
      <c r="P3" s="1311"/>
      <c r="Q3" s="1311"/>
      <c r="R3" s="1311"/>
    </row>
    <row r="4" spans="1:18" ht="15" customHeight="1" x14ac:dyDescent="0.25">
      <c r="A4" s="656"/>
      <c r="B4" s="143"/>
      <c r="C4" s="3366"/>
      <c r="D4" s="3366"/>
      <c r="E4" s="3366"/>
      <c r="F4" s="3366"/>
      <c r="G4" s="3366"/>
      <c r="H4" s="3366"/>
      <c r="I4" s="3366"/>
      <c r="J4" s="3366"/>
      <c r="K4" s="3367"/>
      <c r="L4" s="3367"/>
      <c r="M4" s="1311"/>
      <c r="N4" s="1311"/>
      <c r="O4" s="1311"/>
      <c r="P4" s="1311"/>
      <c r="Q4" s="1311"/>
      <c r="R4" s="1311"/>
    </row>
    <row r="5" spans="1:18" ht="15" customHeight="1" x14ac:dyDescent="0.25">
      <c r="A5" s="656"/>
      <c r="B5" s="2375" t="s">
        <v>2028</v>
      </c>
      <c r="C5" s="2376"/>
      <c r="D5" s="4980" t="s">
        <v>1320</v>
      </c>
      <c r="E5" s="4983" t="s">
        <v>1603</v>
      </c>
      <c r="F5" s="2377" t="s">
        <v>2267</v>
      </c>
      <c r="G5" s="2377" t="s">
        <v>2268</v>
      </c>
      <c r="H5" s="2377" t="s">
        <v>2651</v>
      </c>
      <c r="I5" s="2377" t="s">
        <v>2269</v>
      </c>
      <c r="J5" s="2377" t="s">
        <v>2270</v>
      </c>
      <c r="K5" s="3353" t="s">
        <v>2647</v>
      </c>
      <c r="L5" s="3354" t="s">
        <v>2648</v>
      </c>
      <c r="M5" s="1311"/>
      <c r="N5" s="1311"/>
      <c r="O5" s="1311"/>
      <c r="P5" s="1311"/>
      <c r="Q5" s="1311"/>
      <c r="R5" s="1311"/>
    </row>
    <row r="6" spans="1:18" ht="25.5" customHeight="1" x14ac:dyDescent="0.2">
      <c r="A6" s="656"/>
      <c r="B6" s="4986" t="s">
        <v>2271</v>
      </c>
      <c r="C6" s="2378"/>
      <c r="D6" s="4981"/>
      <c r="E6" s="4984"/>
      <c r="F6" s="2379" t="s">
        <v>2272</v>
      </c>
      <c r="G6" s="2379" t="s">
        <v>2273</v>
      </c>
      <c r="H6" s="2379" t="s">
        <v>2477</v>
      </c>
      <c r="I6" s="2379" t="s">
        <v>2274</v>
      </c>
      <c r="J6" s="2379" t="s">
        <v>2275</v>
      </c>
      <c r="K6" s="2379" t="s">
        <v>2275</v>
      </c>
      <c r="L6" s="2379" t="s">
        <v>2649</v>
      </c>
      <c r="M6" s="1311"/>
      <c r="N6" s="1311"/>
      <c r="O6" s="1311"/>
      <c r="P6" s="1311"/>
      <c r="Q6" s="1311"/>
      <c r="R6" s="1311"/>
    </row>
    <row r="7" spans="1:18" ht="15" customHeight="1" x14ac:dyDescent="0.2">
      <c r="A7" s="656"/>
      <c r="B7" s="4987"/>
      <c r="C7" s="2378"/>
      <c r="D7" s="4981"/>
      <c r="E7" s="4984"/>
      <c r="F7" s="2380" t="s">
        <v>2803</v>
      </c>
      <c r="G7" s="2380" t="s">
        <v>2803</v>
      </c>
      <c r="H7" s="2380" t="s">
        <v>2803</v>
      </c>
      <c r="I7" s="2380" t="s">
        <v>2803</v>
      </c>
      <c r="J7" s="2380" t="s">
        <v>2804</v>
      </c>
      <c r="K7" s="2380" t="s">
        <v>2804</v>
      </c>
      <c r="L7" s="2380" t="s">
        <v>2804</v>
      </c>
      <c r="M7" s="1311"/>
      <c r="N7" s="1311"/>
      <c r="O7" s="1311"/>
      <c r="P7" s="1311"/>
      <c r="Q7" s="1311"/>
      <c r="R7" s="1311"/>
    </row>
    <row r="8" spans="1:18" ht="15" customHeight="1" x14ac:dyDescent="0.2">
      <c r="A8" s="656"/>
      <c r="B8" s="2381" t="s">
        <v>2276</v>
      </c>
      <c r="C8" s="2378"/>
      <c r="D8" s="4981"/>
      <c r="E8" s="4984"/>
      <c r="F8" s="2382" t="s">
        <v>2277</v>
      </c>
      <c r="G8" s="2382" t="s">
        <v>2277</v>
      </c>
      <c r="H8" s="2382" t="s">
        <v>2277</v>
      </c>
      <c r="I8" s="2382" t="s">
        <v>2277</v>
      </c>
      <c r="J8" s="2382" t="s">
        <v>2277</v>
      </c>
      <c r="K8" s="2382" t="s">
        <v>2277</v>
      </c>
      <c r="L8" s="3351" t="s">
        <v>2277</v>
      </c>
      <c r="M8" s="1311"/>
      <c r="N8" s="1311"/>
      <c r="O8" s="1311"/>
      <c r="P8" s="1311"/>
      <c r="Q8" s="1311"/>
      <c r="R8" s="1311"/>
    </row>
    <row r="9" spans="1:18" ht="15" customHeight="1" x14ac:dyDescent="0.2">
      <c r="A9" s="656"/>
      <c r="B9" s="2383" t="s">
        <v>1884</v>
      </c>
      <c r="C9" s="2378"/>
      <c r="D9" s="4982"/>
      <c r="E9" s="4985"/>
      <c r="F9" s="2384"/>
      <c r="G9" s="2384"/>
      <c r="H9" s="2384"/>
      <c r="I9" s="2385"/>
      <c r="J9" s="2384"/>
      <c r="K9" s="3349"/>
      <c r="L9" s="3350"/>
      <c r="M9" s="1311"/>
      <c r="N9" s="1311"/>
      <c r="O9" s="1311"/>
      <c r="P9" s="1311"/>
      <c r="Q9" s="1311"/>
      <c r="R9" s="1311"/>
    </row>
    <row r="10" spans="1:18" ht="15.75" hidden="1" customHeight="1" x14ac:dyDescent="0.2">
      <c r="A10" s="656"/>
      <c r="B10" s="1557"/>
      <c r="C10" s="1558"/>
      <c r="D10" s="1559"/>
      <c r="E10" s="1560"/>
      <c r="F10" s="1561">
        <f>MIN(F12:F72)</f>
        <v>8082130</v>
      </c>
      <c r="G10" s="1561">
        <f>MIN(G12:G72)</f>
        <v>5835913</v>
      </c>
      <c r="H10" s="1561">
        <f>MIN(H12:H72)</f>
        <v>2257400</v>
      </c>
      <c r="I10" s="1561">
        <f>MIN(I12:I72)</f>
        <v>1789527</v>
      </c>
      <c r="J10" s="1561">
        <f>MIN(J12:J72)</f>
        <v>16525054</v>
      </c>
      <c r="K10" s="3346"/>
      <c r="L10" s="3345"/>
      <c r="M10" s="1311"/>
      <c r="N10" s="1311"/>
      <c r="O10" s="1311"/>
      <c r="P10" s="1311"/>
      <c r="Q10" s="1311"/>
      <c r="R10" s="1311"/>
    </row>
    <row r="11" spans="1:18" ht="18" customHeight="1" x14ac:dyDescent="0.2">
      <c r="A11" s="656"/>
      <c r="B11" s="157" t="s">
        <v>2650</v>
      </c>
      <c r="C11" s="2386"/>
      <c r="D11" s="2387">
        <f t="shared" ref="D11" si="0">SUM(F11/F$10,G11/G$10,H11/H$10,I11/I$10,J11/J$10)/5*100</f>
        <v>433.24767373461964</v>
      </c>
      <c r="E11" s="2388" t="s">
        <v>1321</v>
      </c>
      <c r="F11" s="237">
        <v>40792064</v>
      </c>
      <c r="G11" s="2389">
        <v>26288280</v>
      </c>
      <c r="H11" s="237">
        <v>12976880</v>
      </c>
      <c r="I11" s="2390">
        <v>7255184</v>
      </c>
      <c r="J11" s="2390">
        <v>38136168</v>
      </c>
      <c r="K11" s="3347">
        <v>5230882</v>
      </c>
      <c r="L11" s="3352">
        <v>7147520</v>
      </c>
      <c r="M11" s="1311"/>
      <c r="N11" s="1311"/>
      <c r="O11" s="1311"/>
      <c r="P11" s="1311"/>
      <c r="Q11" s="1311"/>
      <c r="R11" s="1311"/>
    </row>
    <row r="12" spans="1:18" ht="18" customHeight="1" x14ac:dyDescent="0.2">
      <c r="A12" s="2391"/>
      <c r="B12" s="4933" t="s">
        <v>2800</v>
      </c>
      <c r="C12" s="2392" t="s">
        <v>40</v>
      </c>
      <c r="D12" s="2387">
        <f>SUM(F12/F$10,G12/G$10,H12/H$10,I12/I$10,J12/J$10)/5*100</f>
        <v>100</v>
      </c>
      <c r="E12" s="204">
        <f>5288.1+3095.2+1429.6+805.9+4523.9+866.6+691.8</f>
        <v>16701.099999999999</v>
      </c>
      <c r="F12" s="2393">
        <v>8082130</v>
      </c>
      <c r="G12" s="2393">
        <v>5835913</v>
      </c>
      <c r="H12" s="2393">
        <v>2257400</v>
      </c>
      <c r="I12" s="2394">
        <v>1789527</v>
      </c>
      <c r="J12" s="2394">
        <v>16525054</v>
      </c>
      <c r="K12" s="3348">
        <v>4763957</v>
      </c>
      <c r="L12" s="4633">
        <v>2709035</v>
      </c>
      <c r="M12" s="1311"/>
      <c r="N12" s="1311"/>
      <c r="O12" s="1311"/>
      <c r="P12" s="1311"/>
      <c r="Q12" s="1311"/>
      <c r="R12" s="1311"/>
    </row>
    <row r="13" spans="1:18" ht="18" customHeight="1" x14ac:dyDescent="0.2">
      <c r="A13" s="2311"/>
      <c r="B13" s="4644" t="s">
        <v>2503</v>
      </c>
      <c r="C13" s="3105" t="s">
        <v>40</v>
      </c>
      <c r="D13" s="2387">
        <f>SUM(F13/F$10,G13/G$10,H13/H$10,I13/I$10,J13/J$10)/5*100</f>
        <v>100.77939919984227</v>
      </c>
      <c r="E13" s="312">
        <f>6069.62+4381.05+1585+947.09+4558.49+1313.22+821.85</f>
        <v>19676.32</v>
      </c>
      <c r="F13" s="1703">
        <v>8149977</v>
      </c>
      <c r="G13" s="1703">
        <v>5875484</v>
      </c>
      <c r="H13" s="1703">
        <v>2281922</v>
      </c>
      <c r="I13" s="2394">
        <v>1806391</v>
      </c>
      <c r="J13" s="2394">
        <v>16583024</v>
      </c>
      <c r="K13" s="3348">
        <v>4766683</v>
      </c>
      <c r="L13" s="4633">
        <v>2722493</v>
      </c>
      <c r="M13" s="1311"/>
      <c r="N13" s="1311"/>
      <c r="O13" s="1311"/>
      <c r="P13" s="1311"/>
      <c r="Q13" s="1311"/>
      <c r="R13" s="1311"/>
    </row>
    <row r="14" spans="1:18" ht="18" customHeight="1" x14ac:dyDescent="0.2">
      <c r="A14" s="2311"/>
      <c r="B14" s="3286" t="s">
        <v>2501</v>
      </c>
      <c r="C14" s="323" t="s">
        <v>40</v>
      </c>
      <c r="D14" s="2387">
        <f>SUM(F14/F$10,G14/G$10,H14/H$10,I14/I$10,J14/J$10)/5*100</f>
        <v>100.83429956647993</v>
      </c>
      <c r="E14" s="312">
        <f>4879.89+3486.23+1497.74+869.75+4868.88+1297.41+981.47</f>
        <v>17881.370000000003</v>
      </c>
      <c r="F14" s="4772">
        <v>8149977</v>
      </c>
      <c r="G14" s="4772">
        <v>5879360</v>
      </c>
      <c r="H14" s="4772">
        <v>2284110</v>
      </c>
      <c r="I14" s="4773">
        <v>1808146</v>
      </c>
      <c r="J14" s="4773">
        <v>16585187</v>
      </c>
      <c r="K14" s="4774">
        <v>4766842</v>
      </c>
      <c r="L14" s="4775">
        <v>2724526</v>
      </c>
      <c r="M14" s="1311"/>
      <c r="N14" s="1311"/>
      <c r="O14" s="1311"/>
      <c r="P14" s="1311"/>
      <c r="Q14" s="1311"/>
      <c r="R14" s="1311"/>
    </row>
    <row r="15" spans="1:18" ht="18" customHeight="1" x14ac:dyDescent="0.25">
      <c r="A15" s="2391"/>
      <c r="B15" s="4714" t="s">
        <v>2478</v>
      </c>
      <c r="C15" s="2851" t="s">
        <v>40</v>
      </c>
      <c r="D15" s="2387">
        <f t="shared" ref="D15:D46" si="1">SUM(F15/F$10,G15/G$10,H15/H$10,I15/I$10,J15/J$10)/5*100</f>
        <v>101.26532499103888</v>
      </c>
      <c r="E15" s="204">
        <f>4516.75+3262.04+1506.85+838.25+4371.88+1026.25+709.84</f>
        <v>16231.86</v>
      </c>
      <c r="F15" s="2393">
        <v>8168677</v>
      </c>
      <c r="G15" s="2393">
        <v>5906757</v>
      </c>
      <c r="H15" s="2393">
        <v>2302707</v>
      </c>
      <c r="I15" s="2394">
        <v>1817864</v>
      </c>
      <c r="J15" s="2394">
        <v>16599634</v>
      </c>
      <c r="K15" s="3348">
        <v>4771857</v>
      </c>
      <c r="L15" s="4633">
        <v>2720920</v>
      </c>
      <c r="M15" s="1311"/>
      <c r="N15" s="1311"/>
      <c r="O15" s="1311"/>
      <c r="P15" s="1311"/>
      <c r="Q15" s="1311"/>
      <c r="R15" s="1311"/>
    </row>
    <row r="16" spans="1:18" ht="18" customHeight="1" x14ac:dyDescent="0.2">
      <c r="A16" s="2311"/>
      <c r="B16" s="2990" t="s">
        <v>2644</v>
      </c>
      <c r="C16" s="2043"/>
      <c r="D16" s="2387">
        <f t="shared" si="1"/>
        <v>102.26452080425139</v>
      </c>
      <c r="E16" s="312">
        <f>10750.4+7333.4+3508.5+ 2164.3+8664.2+1339.9+1501.5</f>
        <v>35262.199999999997</v>
      </c>
      <c r="F16" s="319">
        <v>8150173</v>
      </c>
      <c r="G16" s="319">
        <v>6160104</v>
      </c>
      <c r="H16" s="319">
        <v>2277130</v>
      </c>
      <c r="I16" s="2849">
        <v>1836591</v>
      </c>
      <c r="J16" s="2849">
        <v>16759978</v>
      </c>
      <c r="K16" s="3348">
        <v>4766313</v>
      </c>
      <c r="L16" s="4633">
        <v>2738682</v>
      </c>
      <c r="M16" s="1311"/>
      <c r="N16" s="1311"/>
      <c r="O16" s="1311"/>
      <c r="P16" s="1311"/>
      <c r="Q16" s="1311"/>
      <c r="R16" s="1311"/>
    </row>
    <row r="17" spans="1:18" ht="18" customHeight="1" x14ac:dyDescent="0.2">
      <c r="A17" s="2311"/>
      <c r="B17" s="1375" t="s">
        <v>2573</v>
      </c>
      <c r="C17" s="2403"/>
      <c r="D17" s="2387">
        <f t="shared" si="1"/>
        <v>102.33510193821628</v>
      </c>
      <c r="E17" s="312">
        <f>9665.3+6428.6+3160.4+1695.4+8604.7+1316.4+1487</f>
        <v>32357.800000000003</v>
      </c>
      <c r="F17" s="319">
        <v>8154865</v>
      </c>
      <c r="G17" s="319">
        <v>6163657</v>
      </c>
      <c r="H17" s="319">
        <v>2279133</v>
      </c>
      <c r="I17" s="2849">
        <v>1838827</v>
      </c>
      <c r="J17" s="2849">
        <v>16763331</v>
      </c>
      <c r="K17" s="3348">
        <v>4768175</v>
      </c>
      <c r="L17" s="4633">
        <v>2737379</v>
      </c>
      <c r="M17" s="1311"/>
      <c r="N17" s="1311"/>
      <c r="O17" s="1311"/>
      <c r="P17" s="1311"/>
      <c r="Q17" s="1311"/>
      <c r="R17" s="1311"/>
    </row>
    <row r="18" spans="1:18" ht="18" customHeight="1" x14ac:dyDescent="0.25">
      <c r="A18" s="2391"/>
      <c r="B18" s="2987" t="s">
        <v>2469</v>
      </c>
      <c r="C18" s="2397" t="s">
        <v>40</v>
      </c>
      <c r="D18" s="2387">
        <f t="shared" si="1"/>
        <v>103.77543058218737</v>
      </c>
      <c r="E18" s="204">
        <f>2983.72+1751.22+990.7+709.11+2852.95+945.27+694</f>
        <v>10926.97</v>
      </c>
      <c r="F18" s="1812">
        <v>8493899</v>
      </c>
      <c r="G18" s="1812">
        <v>6065714</v>
      </c>
      <c r="H18" s="1812">
        <v>2368894</v>
      </c>
      <c r="I18" s="392">
        <v>1848108</v>
      </c>
      <c r="J18" s="392">
        <v>16794751</v>
      </c>
      <c r="K18" s="3348">
        <v>4775261</v>
      </c>
      <c r="L18" s="4633">
        <v>2737585</v>
      </c>
      <c r="M18" s="1311"/>
      <c r="N18" s="1311"/>
      <c r="O18" s="1311"/>
      <c r="P18" s="1311"/>
      <c r="Q18" s="1311"/>
      <c r="R18" s="1311"/>
    </row>
    <row r="19" spans="1:18" ht="18" customHeight="1" x14ac:dyDescent="0.2">
      <c r="A19" s="2391"/>
      <c r="B19" s="3032" t="s">
        <v>2476</v>
      </c>
      <c r="C19" s="1835" t="s">
        <v>40</v>
      </c>
      <c r="D19" s="2387">
        <f t="shared" si="1"/>
        <v>105.61021566040584</v>
      </c>
      <c r="E19" s="312">
        <f>2988.89+2039.11+929.03+531.61+2880.78+697.43+708.83</f>
        <v>10775.68</v>
      </c>
      <c r="F19" s="1812">
        <v>8527641</v>
      </c>
      <c r="G19" s="1812">
        <v>6300423</v>
      </c>
      <c r="H19" s="1812">
        <v>2381725</v>
      </c>
      <c r="I19" s="392">
        <v>1898483</v>
      </c>
      <c r="J19" s="392">
        <v>17018045</v>
      </c>
      <c r="K19" s="3348">
        <v>4801283</v>
      </c>
      <c r="L19" s="4633">
        <v>2863634</v>
      </c>
      <c r="M19" s="1311"/>
      <c r="N19" s="1311"/>
      <c r="O19" s="1311"/>
      <c r="P19" s="1311"/>
      <c r="Q19" s="1311"/>
      <c r="R19" s="1311"/>
    </row>
    <row r="20" spans="1:18" ht="18" customHeight="1" x14ac:dyDescent="0.25">
      <c r="A20" s="2311"/>
      <c r="B20" s="1688" t="s">
        <v>2278</v>
      </c>
      <c r="C20" s="1865" t="s">
        <v>40</v>
      </c>
      <c r="D20" s="2387">
        <f t="shared" si="1"/>
        <v>114.14523203682583</v>
      </c>
      <c r="E20" s="312">
        <f>650.34+476.48+193.63+113.06+686.42+95.8+158.27</f>
        <v>2374.0000000000005</v>
      </c>
      <c r="F20" s="1812">
        <v>9302454</v>
      </c>
      <c r="G20" s="1812">
        <v>6654429</v>
      </c>
      <c r="H20" s="1812">
        <v>2670471</v>
      </c>
      <c r="I20" s="392">
        <v>2131493</v>
      </c>
      <c r="J20" s="392">
        <v>17218081</v>
      </c>
      <c r="K20" s="3348">
        <v>4818707</v>
      </c>
      <c r="L20" s="4633">
        <v>2909791</v>
      </c>
      <c r="M20" s="1311"/>
      <c r="N20" s="1311"/>
      <c r="O20" s="1311"/>
      <c r="P20" s="1311"/>
      <c r="Q20" s="1311"/>
      <c r="R20" s="1311"/>
    </row>
    <row r="21" spans="1:18" ht="18" customHeight="1" x14ac:dyDescent="0.2">
      <c r="A21" s="2391"/>
      <c r="B21" s="4632" t="s">
        <v>2495</v>
      </c>
      <c r="C21" s="3015" t="s">
        <v>40</v>
      </c>
      <c r="D21" s="2387">
        <f t="shared" si="1"/>
        <v>114.17820041592518</v>
      </c>
      <c r="E21" s="312">
        <f xml:space="preserve"> 502.57+393.6+169.19+88.74+502.71+141.65+152.6</f>
        <v>1951.0600000000002</v>
      </c>
      <c r="F21" s="1812">
        <v>9301921</v>
      </c>
      <c r="G21" s="1812">
        <v>6656754</v>
      </c>
      <c r="H21" s="1812">
        <v>2673572</v>
      </c>
      <c r="I21" s="392">
        <v>2132308</v>
      </c>
      <c r="J21" s="392">
        <v>17209601</v>
      </c>
      <c r="K21" s="3348">
        <v>4819131</v>
      </c>
      <c r="L21" s="4633">
        <v>2903452</v>
      </c>
      <c r="M21" s="1311"/>
      <c r="N21" s="1311"/>
      <c r="O21" s="1311"/>
      <c r="P21" s="1311"/>
      <c r="Q21" s="1311"/>
      <c r="R21" s="1311"/>
    </row>
    <row r="22" spans="1:18" ht="18" customHeight="1" x14ac:dyDescent="0.2">
      <c r="A22" s="2391"/>
      <c r="B22" s="1688" t="s">
        <v>2315</v>
      </c>
      <c r="C22" s="3015"/>
      <c r="D22" s="2387">
        <f t="shared" si="1"/>
        <v>122.46552307953675</v>
      </c>
      <c r="E22" s="312">
        <f>100+64.1+32.7+21+94.8+14.02+15.62</f>
        <v>342.24</v>
      </c>
      <c r="F22" s="1812">
        <v>9837539</v>
      </c>
      <c r="G22" s="1812">
        <v>7192464</v>
      </c>
      <c r="H22" s="1812">
        <v>2903454</v>
      </c>
      <c r="I22" s="392">
        <v>2323832</v>
      </c>
      <c r="J22" s="392">
        <v>17993534</v>
      </c>
      <c r="K22" s="3348">
        <v>4838978</v>
      </c>
      <c r="L22" s="4633">
        <v>3039866</v>
      </c>
      <c r="M22" s="1311"/>
      <c r="N22" s="1311"/>
      <c r="O22" s="1311"/>
      <c r="P22" s="1311"/>
      <c r="Q22" s="1311"/>
      <c r="R22" s="1311"/>
    </row>
    <row r="23" spans="1:18" ht="18" customHeight="1" x14ac:dyDescent="0.25">
      <c r="A23" s="2391"/>
      <c r="B23" s="2193" t="s">
        <v>2279</v>
      </c>
      <c r="C23" s="2397"/>
      <c r="D23" s="2387">
        <f t="shared" si="1"/>
        <v>125.91651304321914</v>
      </c>
      <c r="E23" s="204">
        <f>334.9+235.2+123.3+95.2+684.7+839.7+245+138.7</f>
        <v>2696.7</v>
      </c>
      <c r="F23" s="1812">
        <v>10555765</v>
      </c>
      <c r="G23" s="1812">
        <v>7502065</v>
      </c>
      <c r="H23" s="1812">
        <v>2882577</v>
      </c>
      <c r="I23" s="392">
        <v>2383153</v>
      </c>
      <c r="J23" s="392">
        <v>18104778</v>
      </c>
      <c r="K23" s="3348">
        <v>4879527</v>
      </c>
      <c r="L23" s="4633">
        <v>3097390</v>
      </c>
      <c r="M23" s="1311"/>
      <c r="N23" s="1311"/>
      <c r="O23" s="1311"/>
      <c r="P23" s="1311"/>
      <c r="Q23" s="1311"/>
      <c r="R23" s="1311"/>
    </row>
    <row r="24" spans="1:18" ht="18" customHeight="1" x14ac:dyDescent="0.2">
      <c r="A24" s="2391"/>
      <c r="B24" s="2193" t="s">
        <v>2316</v>
      </c>
      <c r="C24" s="2396" t="s">
        <v>40</v>
      </c>
      <c r="D24" s="2387">
        <f t="shared" si="1"/>
        <v>128.30410048355532</v>
      </c>
      <c r="E24" s="204">
        <f>47.4+34.2+19.3+16.5+56.3+13.6+11.6</f>
        <v>198.89999999999998</v>
      </c>
      <c r="F24" s="1812">
        <v>10485729</v>
      </c>
      <c r="G24" s="1812">
        <v>7591108</v>
      </c>
      <c r="H24" s="1812">
        <v>3024622</v>
      </c>
      <c r="I24" s="392">
        <v>2451623</v>
      </c>
      <c r="J24" s="392">
        <v>18296493</v>
      </c>
      <c r="K24" s="3348">
        <v>4882174</v>
      </c>
      <c r="L24" s="4633">
        <v>3184647</v>
      </c>
      <c r="M24" s="1311"/>
      <c r="N24" s="1311"/>
      <c r="O24" s="1311"/>
      <c r="P24" s="1311"/>
      <c r="Q24" s="1311"/>
      <c r="R24" s="1311"/>
    </row>
    <row r="25" spans="1:18" ht="18" customHeight="1" x14ac:dyDescent="0.2">
      <c r="A25" s="2391"/>
      <c r="B25" s="2193" t="s">
        <v>2065</v>
      </c>
      <c r="C25" s="2407"/>
      <c r="D25" s="2387">
        <f t="shared" si="1"/>
        <v>132.20489437018074</v>
      </c>
      <c r="E25" s="204">
        <f>26.6+20+9.7+7.5+21+4.9+6.1</f>
        <v>95.8</v>
      </c>
      <c r="F25" s="1812">
        <v>10718564</v>
      </c>
      <c r="G25" s="1812">
        <v>7736482</v>
      </c>
      <c r="H25" s="1812">
        <v>3153686</v>
      </c>
      <c r="I25" s="392">
        <v>2581608</v>
      </c>
      <c r="J25" s="392">
        <v>18486706</v>
      </c>
      <c r="K25" s="3348">
        <v>4928920</v>
      </c>
      <c r="L25" s="4633">
        <v>3209310</v>
      </c>
      <c r="M25" s="1311"/>
      <c r="N25" s="1311"/>
      <c r="O25" s="1311"/>
      <c r="P25" s="1311"/>
      <c r="Q25" s="1311"/>
      <c r="R25" s="1311"/>
    </row>
    <row r="26" spans="1:18" ht="18" customHeight="1" x14ac:dyDescent="0.2">
      <c r="A26" s="2391"/>
      <c r="B26" s="525" t="s">
        <v>2280</v>
      </c>
      <c r="C26" s="2396"/>
      <c r="D26" s="2387">
        <f t="shared" si="1"/>
        <v>133.22966119234891</v>
      </c>
      <c r="E26" s="204">
        <f>106.3+82.5+35.1+28.2+184.8+49.4+37.3</f>
        <v>523.59999999999991</v>
      </c>
      <c r="F26" s="1812">
        <v>10606068</v>
      </c>
      <c r="G26" s="1812">
        <v>8109747</v>
      </c>
      <c r="H26" s="1812">
        <v>3298625</v>
      </c>
      <c r="I26" s="392">
        <v>2415525</v>
      </c>
      <c r="J26" s="392">
        <v>18979146</v>
      </c>
      <c r="K26" s="3348">
        <v>4871070</v>
      </c>
      <c r="L26" s="4633">
        <v>3137536</v>
      </c>
      <c r="M26" s="1311"/>
      <c r="N26" s="1311"/>
      <c r="O26" s="1311"/>
      <c r="P26" s="1311"/>
      <c r="Q26" s="1311"/>
      <c r="R26" s="1311"/>
    </row>
    <row r="27" spans="1:18" ht="18" customHeight="1" x14ac:dyDescent="0.2">
      <c r="A27" s="2391"/>
      <c r="B27" s="2193" t="s">
        <v>2312</v>
      </c>
      <c r="C27" s="2396" t="s">
        <v>40</v>
      </c>
      <c r="D27" s="2387">
        <f t="shared" si="1"/>
        <v>134.15347561016134</v>
      </c>
      <c r="E27" s="204">
        <f>231.8+146+83.1+43.7+240.2+31.8+43.4</f>
        <v>819.99999999999989</v>
      </c>
      <c r="F27" s="1812">
        <v>10654676</v>
      </c>
      <c r="G27" s="1812">
        <v>8110504</v>
      </c>
      <c r="H27" s="1812">
        <v>3377549</v>
      </c>
      <c r="I27" s="392">
        <v>2496835</v>
      </c>
      <c r="J27" s="392">
        <v>18312324</v>
      </c>
      <c r="K27" s="3348">
        <v>4861759</v>
      </c>
      <c r="L27" s="4633">
        <v>3065800</v>
      </c>
      <c r="M27" s="1311"/>
      <c r="N27" s="1311"/>
      <c r="O27" s="1311"/>
      <c r="P27" s="1311"/>
      <c r="Q27" s="1311"/>
      <c r="R27" s="1311"/>
    </row>
    <row r="28" spans="1:18" ht="18" customHeight="1" x14ac:dyDescent="0.2">
      <c r="A28" s="2391"/>
      <c r="B28" s="4637" t="s">
        <v>2556</v>
      </c>
      <c r="C28" s="2396"/>
      <c r="D28" s="2387">
        <f t="shared" si="1"/>
        <v>135.20457761628327</v>
      </c>
      <c r="E28" s="204">
        <f>105+71.33+32.92+17.32+104.49+10.37+16.49</f>
        <v>357.92</v>
      </c>
      <c r="F28" s="3179">
        <v>11021923</v>
      </c>
      <c r="G28" s="3179">
        <v>8001042</v>
      </c>
      <c r="H28" s="3179">
        <v>3208335</v>
      </c>
      <c r="I28" s="3331">
        <v>2614620</v>
      </c>
      <c r="J28" s="3331">
        <v>18890915</v>
      </c>
      <c r="K28" s="3348">
        <v>4886151</v>
      </c>
      <c r="L28" s="4633">
        <v>3139822</v>
      </c>
      <c r="M28" s="1311"/>
      <c r="N28" s="1311"/>
      <c r="O28" s="1311"/>
      <c r="P28" s="1311"/>
      <c r="Q28" s="1311"/>
      <c r="R28" s="1311"/>
    </row>
    <row r="29" spans="1:18" ht="18" customHeight="1" x14ac:dyDescent="0.2">
      <c r="A29" s="2391"/>
      <c r="B29" s="3332" t="s">
        <v>2585</v>
      </c>
      <c r="C29" s="3184"/>
      <c r="D29" s="2387">
        <f t="shared" si="1"/>
        <v>135.9552797471375</v>
      </c>
      <c r="E29" s="312">
        <f>30+21+10+5+26+4+6</f>
        <v>102</v>
      </c>
      <c r="F29" s="177">
        <v>11316282</v>
      </c>
      <c r="G29" s="395">
        <v>8114453</v>
      </c>
      <c r="H29" s="395">
        <v>3341584</v>
      </c>
      <c r="I29" s="2310">
        <v>2460135</v>
      </c>
      <c r="J29" s="2310">
        <v>19039318</v>
      </c>
      <c r="K29" s="3348">
        <v>4871740</v>
      </c>
      <c r="L29" s="4633">
        <v>3184321</v>
      </c>
      <c r="M29" s="1311"/>
      <c r="N29" s="1311"/>
      <c r="O29" s="1311"/>
      <c r="P29" s="1311"/>
      <c r="Q29" s="1311"/>
      <c r="R29" s="1311"/>
    </row>
    <row r="30" spans="1:18" ht="18" customHeight="1" x14ac:dyDescent="0.2">
      <c r="A30" s="2391"/>
      <c r="B30" s="2413" t="s">
        <v>2317</v>
      </c>
      <c r="C30" s="2396"/>
      <c r="D30" s="2387">
        <f t="shared" si="1"/>
        <v>136.39193226944707</v>
      </c>
      <c r="E30" s="204">
        <f>13.7+10.3+5+2.5+12.6+1.5+3.2</f>
        <v>48.800000000000004</v>
      </c>
      <c r="F30" s="2393">
        <v>11588829</v>
      </c>
      <c r="G30" s="2393">
        <v>8238258</v>
      </c>
      <c r="H30" s="2393">
        <v>3304334</v>
      </c>
      <c r="I30" s="2394">
        <v>2425012</v>
      </c>
      <c r="J30" s="2394">
        <v>19089296</v>
      </c>
      <c r="K30" s="3348">
        <v>4927731</v>
      </c>
      <c r="L30" s="4633">
        <v>3235707</v>
      </c>
      <c r="M30" s="1311"/>
      <c r="N30" s="1311"/>
      <c r="O30" s="1311"/>
      <c r="P30" s="1311"/>
      <c r="Q30" s="1311"/>
      <c r="R30" s="1311"/>
    </row>
    <row r="31" spans="1:18" ht="18" customHeight="1" x14ac:dyDescent="0.2">
      <c r="A31" s="2391"/>
      <c r="B31" s="449" t="s">
        <v>733</v>
      </c>
      <c r="C31" s="2396"/>
      <c r="D31" s="2387">
        <f t="shared" si="1"/>
        <v>137.46103168305268</v>
      </c>
      <c r="E31" s="204">
        <f>25.7+16.7+7.7+5.9+23.8+3.4+3.7</f>
        <v>86.9</v>
      </c>
      <c r="F31" s="1812">
        <v>11354585</v>
      </c>
      <c r="G31" s="1812">
        <v>8133385</v>
      </c>
      <c r="H31" s="1812">
        <v>3379678</v>
      </c>
      <c r="I31" s="392">
        <v>2563550</v>
      </c>
      <c r="J31" s="392">
        <v>18917696</v>
      </c>
      <c r="K31" s="3348">
        <v>4897483</v>
      </c>
      <c r="L31" s="4633">
        <v>3221295</v>
      </c>
      <c r="M31" s="1311"/>
      <c r="N31" s="1311"/>
      <c r="O31" s="1311"/>
      <c r="P31" s="1311"/>
      <c r="Q31" s="1311"/>
      <c r="R31" s="1311"/>
    </row>
    <row r="32" spans="1:18" ht="18" customHeight="1" x14ac:dyDescent="0.2">
      <c r="A32" s="2391"/>
      <c r="B32" s="2399" t="s">
        <v>2281</v>
      </c>
      <c r="C32" s="2396" t="s">
        <v>40</v>
      </c>
      <c r="D32" s="2387">
        <f t="shared" si="1"/>
        <v>140.66282130007045</v>
      </c>
      <c r="E32" s="204">
        <f>8+5+2+1+8+1+3</f>
        <v>28</v>
      </c>
      <c r="F32" s="174">
        <v>11925944</v>
      </c>
      <c r="G32" s="2304">
        <v>8558769</v>
      </c>
      <c r="H32" s="2398">
        <v>3475845</v>
      </c>
      <c r="I32" s="2167">
        <v>2465326</v>
      </c>
      <c r="J32" s="2167">
        <v>19393487</v>
      </c>
      <c r="K32" s="3348">
        <v>4927780</v>
      </c>
      <c r="L32" s="4633">
        <v>3235757</v>
      </c>
      <c r="M32" s="1311"/>
      <c r="N32" s="1311"/>
      <c r="O32" s="1311"/>
      <c r="P32" s="1311"/>
      <c r="Q32" s="1311"/>
      <c r="R32" s="1311"/>
    </row>
    <row r="33" spans="1:18" ht="18" customHeight="1" x14ac:dyDescent="0.2">
      <c r="A33" s="2391"/>
      <c r="B33" s="2399" t="s">
        <v>1261</v>
      </c>
      <c r="C33" s="2400"/>
      <c r="D33" s="2387">
        <f t="shared" si="1"/>
        <v>141.63981090315349</v>
      </c>
      <c r="E33" s="204">
        <f>73.5+36.3+15+10.9+55.9+5.7+9.6</f>
        <v>206.89999999999998</v>
      </c>
      <c r="F33" s="174">
        <v>11653512</v>
      </c>
      <c r="G33" s="2304">
        <v>8306610</v>
      </c>
      <c r="H33" s="2398">
        <v>3419519</v>
      </c>
      <c r="I33" s="2167">
        <v>2774016</v>
      </c>
      <c r="J33" s="2167">
        <v>19033558</v>
      </c>
      <c r="K33" s="3348">
        <v>4915370</v>
      </c>
      <c r="L33" s="4633">
        <v>3294622</v>
      </c>
      <c r="M33" s="1311"/>
      <c r="N33" s="1311"/>
      <c r="O33" s="1311"/>
      <c r="P33" s="1311"/>
      <c r="Q33" s="1311"/>
      <c r="R33" s="1311"/>
    </row>
    <row r="34" spans="1:18" ht="18" customHeight="1" x14ac:dyDescent="0.2">
      <c r="A34" s="2391"/>
      <c r="B34" s="2411" t="s">
        <v>2224</v>
      </c>
      <c r="C34" s="2392" t="s">
        <v>40</v>
      </c>
      <c r="D34" s="2387">
        <f t="shared" si="1"/>
        <v>143.18596190681146</v>
      </c>
      <c r="E34" s="204">
        <f>17+8+4+2+11+1+1</f>
        <v>44</v>
      </c>
      <c r="F34" s="1811">
        <v>12028344</v>
      </c>
      <c r="G34" s="1812">
        <v>8640484</v>
      </c>
      <c r="H34" s="1813">
        <v>3545815</v>
      </c>
      <c r="I34" s="2167">
        <v>2591709</v>
      </c>
      <c r="J34" s="2167">
        <v>19358214</v>
      </c>
      <c r="K34" s="3348">
        <v>4927906</v>
      </c>
      <c r="L34" s="4633">
        <v>3266381</v>
      </c>
      <c r="M34" s="1311"/>
      <c r="N34" s="1311"/>
      <c r="O34" s="1311"/>
      <c r="P34" s="1311"/>
      <c r="Q34" s="1311"/>
      <c r="R34" s="1311"/>
    </row>
    <row r="35" spans="1:18" ht="18" customHeight="1" x14ac:dyDescent="0.2">
      <c r="A35" s="2391"/>
      <c r="B35" s="2416" t="s">
        <v>2282</v>
      </c>
      <c r="C35" s="2396" t="s">
        <v>40</v>
      </c>
      <c r="D35" s="2387">
        <f t="shared" si="1"/>
        <v>144.36400890619646</v>
      </c>
      <c r="E35" s="204">
        <f>9+13+11+4+2+1+2</f>
        <v>42</v>
      </c>
      <c r="F35" s="1811">
        <v>11859306</v>
      </c>
      <c r="G35" s="1812">
        <v>8468072</v>
      </c>
      <c r="H35" s="1813">
        <v>3472224</v>
      </c>
      <c r="I35" s="2401">
        <v>2846772</v>
      </c>
      <c r="J35" s="2401">
        <v>19348788</v>
      </c>
      <c r="K35" s="3348">
        <v>4928054</v>
      </c>
      <c r="L35" s="4633">
        <v>3275737</v>
      </c>
      <c r="M35" s="1311"/>
      <c r="N35" s="1311"/>
      <c r="O35" s="1311"/>
      <c r="P35" s="1311"/>
      <c r="Q35" s="1311"/>
      <c r="R35" s="1311"/>
    </row>
    <row r="36" spans="1:18" ht="18" customHeight="1" x14ac:dyDescent="0.2">
      <c r="A36" s="2391"/>
      <c r="B36" s="2410" t="s">
        <v>2283</v>
      </c>
      <c r="C36" s="2396" t="s">
        <v>40</v>
      </c>
      <c r="D36" s="2387">
        <f t="shared" si="1"/>
        <v>145.86188176386099</v>
      </c>
      <c r="E36" s="204">
        <f>59.1+36.8+18.1+12.2+67.6+8.8+8.8</f>
        <v>211.40000000000003</v>
      </c>
      <c r="F36" s="1811">
        <v>11392833</v>
      </c>
      <c r="G36" s="1812">
        <v>8745153</v>
      </c>
      <c r="H36" s="1813">
        <v>3615449</v>
      </c>
      <c r="I36" s="2402">
        <v>2849890</v>
      </c>
      <c r="J36" s="2402">
        <v>19678337</v>
      </c>
      <c r="K36" s="3348">
        <v>4900303</v>
      </c>
      <c r="L36" s="4633">
        <v>3261179</v>
      </c>
      <c r="M36" s="1311"/>
      <c r="N36" s="1311"/>
      <c r="O36" s="1311"/>
      <c r="P36" s="1311"/>
      <c r="Q36" s="1311"/>
      <c r="R36" s="1311"/>
    </row>
    <row r="37" spans="1:18" ht="18" customHeight="1" x14ac:dyDescent="0.2">
      <c r="A37" s="2391"/>
      <c r="B37" s="1804" t="s">
        <v>2320</v>
      </c>
      <c r="C37" s="2403"/>
      <c r="D37" s="2387">
        <f t="shared" si="1"/>
        <v>147.65064007345293</v>
      </c>
      <c r="E37" s="204">
        <f>73+47+28+11+81+3+1</f>
        <v>244</v>
      </c>
      <c r="F37" s="1811">
        <v>12305972</v>
      </c>
      <c r="G37" s="1812">
        <v>8793427</v>
      </c>
      <c r="H37" s="1813">
        <v>3533340</v>
      </c>
      <c r="I37" s="392">
        <v>2896412</v>
      </c>
      <c r="J37" s="392">
        <v>19324040</v>
      </c>
      <c r="K37" s="3348">
        <v>5359750</v>
      </c>
      <c r="L37" s="4633">
        <v>6593512</v>
      </c>
      <c r="M37" s="1311"/>
      <c r="N37" s="1311"/>
      <c r="O37" s="1311"/>
      <c r="P37" s="1311"/>
      <c r="Q37" s="1311"/>
      <c r="R37" s="1311"/>
    </row>
    <row r="38" spans="1:18" ht="18" customHeight="1" x14ac:dyDescent="0.2">
      <c r="A38" s="2391"/>
      <c r="B38" s="1804" t="s">
        <v>2318</v>
      </c>
      <c r="C38" s="1462"/>
      <c r="D38" s="2387">
        <f t="shared" si="1"/>
        <v>148.06929277380115</v>
      </c>
      <c r="E38" s="204">
        <f>39.8+26.4+15.2+7.8+30.5+4.7+6.7</f>
        <v>131.1</v>
      </c>
      <c r="F38" s="1811">
        <v>12283987</v>
      </c>
      <c r="G38" s="1812">
        <v>8921687</v>
      </c>
      <c r="H38" s="1813">
        <v>3680440</v>
      </c>
      <c r="I38" s="2167">
        <v>2753449</v>
      </c>
      <c r="J38" s="2167">
        <v>19595057</v>
      </c>
      <c r="K38" s="3348">
        <v>4924416</v>
      </c>
      <c r="L38" s="4633">
        <v>3345447</v>
      </c>
      <c r="M38" s="1311"/>
      <c r="N38" s="1311"/>
      <c r="O38" s="1311"/>
      <c r="P38" s="1311"/>
      <c r="Q38" s="1311"/>
      <c r="R38" s="1311"/>
    </row>
    <row r="39" spans="1:18" ht="18" customHeight="1" x14ac:dyDescent="0.2">
      <c r="A39" s="2391"/>
      <c r="B39" s="1804" t="s">
        <v>1816</v>
      </c>
      <c r="C39" s="1462" t="s">
        <v>40</v>
      </c>
      <c r="D39" s="2387">
        <f t="shared" si="1"/>
        <v>153.2338517162753</v>
      </c>
      <c r="E39" s="204">
        <f>21.4+14.8+7+3.1+15.2+1.4+2.3</f>
        <v>65.2</v>
      </c>
      <c r="F39" s="1811">
        <v>12649280</v>
      </c>
      <c r="G39" s="1812">
        <v>9109573</v>
      </c>
      <c r="H39" s="1813">
        <v>3672584</v>
      </c>
      <c r="I39" s="2167">
        <v>3065710</v>
      </c>
      <c r="J39" s="2167">
        <v>19757367</v>
      </c>
      <c r="K39" s="3348">
        <v>4935468</v>
      </c>
      <c r="L39" s="4633">
        <v>3322773</v>
      </c>
      <c r="M39" s="1311"/>
      <c r="N39" s="1311"/>
      <c r="O39" s="1311"/>
      <c r="P39" s="1311"/>
      <c r="Q39" s="1311"/>
      <c r="R39" s="1311"/>
    </row>
    <row r="40" spans="1:18" ht="18" customHeight="1" x14ac:dyDescent="0.25">
      <c r="A40" s="2391"/>
      <c r="B40" s="2953" t="s">
        <v>2284</v>
      </c>
      <c r="C40" s="3176"/>
      <c r="D40" s="2387">
        <f t="shared" si="1"/>
        <v>155.3757393153833</v>
      </c>
      <c r="E40" s="204">
        <f>50.4+32.9+14.9+9.5+60.1+18.5</f>
        <v>186.3</v>
      </c>
      <c r="F40" s="1811">
        <v>12586496</v>
      </c>
      <c r="G40" s="1812">
        <v>9605272</v>
      </c>
      <c r="H40" s="1813">
        <v>3948272</v>
      </c>
      <c r="I40" s="2167">
        <v>2877584</v>
      </c>
      <c r="J40" s="2167">
        <v>19970920</v>
      </c>
      <c r="K40" s="3348">
        <v>5230882</v>
      </c>
      <c r="L40" s="4633">
        <v>3354112</v>
      </c>
      <c r="M40" s="1311"/>
      <c r="N40" s="1311"/>
      <c r="O40" s="1311"/>
      <c r="P40" s="1311"/>
      <c r="Q40" s="1311"/>
      <c r="R40" s="1311"/>
    </row>
    <row r="41" spans="1:18" ht="18" customHeight="1" x14ac:dyDescent="0.2">
      <c r="A41" s="2391"/>
      <c r="B41" s="4636" t="s">
        <v>2321</v>
      </c>
      <c r="C41" s="575"/>
      <c r="D41" s="2387">
        <f t="shared" si="1"/>
        <v>155.75549661667876</v>
      </c>
      <c r="E41" s="204">
        <f>63.1+39.2+19.6+9.5+63.1+3.4+10.7</f>
        <v>208.6</v>
      </c>
      <c r="F41" s="1811">
        <v>12429590</v>
      </c>
      <c r="G41" s="1812">
        <v>9435244</v>
      </c>
      <c r="H41" s="1813">
        <v>3877259</v>
      </c>
      <c r="I41" s="1814">
        <v>3009474</v>
      </c>
      <c r="J41" s="1814">
        <v>20388895</v>
      </c>
      <c r="K41" s="3348">
        <v>4930795</v>
      </c>
      <c r="L41" s="4633">
        <v>3250412</v>
      </c>
      <c r="M41" s="1311"/>
      <c r="N41" s="1311"/>
      <c r="O41" s="1311"/>
      <c r="P41" s="1311"/>
      <c r="Q41" s="1311"/>
      <c r="R41" s="1311"/>
    </row>
    <row r="42" spans="1:18" ht="18" customHeight="1" x14ac:dyDescent="0.2">
      <c r="A42" s="2391"/>
      <c r="B42" s="3320" t="s">
        <v>2285</v>
      </c>
      <c r="C42" s="2396"/>
      <c r="D42" s="2387">
        <f t="shared" si="1"/>
        <v>157.6838720966243</v>
      </c>
      <c r="E42" s="204">
        <f>4+8+3+1+1+1+1</f>
        <v>19</v>
      </c>
      <c r="F42" s="1811">
        <v>13578193</v>
      </c>
      <c r="G42" s="1812">
        <v>9679233</v>
      </c>
      <c r="H42" s="1813">
        <v>3922583</v>
      </c>
      <c r="I42" s="2401">
        <v>2841027</v>
      </c>
      <c r="J42" s="2401">
        <v>20166560</v>
      </c>
      <c r="K42" s="3348">
        <v>4939017</v>
      </c>
      <c r="L42" s="4633">
        <v>3551038</v>
      </c>
      <c r="M42" s="1311"/>
      <c r="N42" s="1311"/>
      <c r="O42" s="1311"/>
      <c r="P42" s="1311"/>
      <c r="Q42" s="1311"/>
      <c r="R42" s="1311"/>
    </row>
    <row r="43" spans="1:18" ht="18" customHeight="1" x14ac:dyDescent="0.2">
      <c r="A43" s="2391"/>
      <c r="B43" s="2412" t="s">
        <v>2319</v>
      </c>
      <c r="C43" s="2403" t="s">
        <v>40</v>
      </c>
      <c r="D43" s="2387">
        <f t="shared" si="1"/>
        <v>170.08468525914938</v>
      </c>
      <c r="E43" s="204">
        <f>26.3+16.4+7.7+3+17.9+1.4+5.9</f>
        <v>78.600000000000023</v>
      </c>
      <c r="F43" s="1811">
        <v>13783313</v>
      </c>
      <c r="G43" s="1812">
        <v>10289639</v>
      </c>
      <c r="H43" s="1813">
        <v>4263399</v>
      </c>
      <c r="I43" s="1814">
        <v>3345139</v>
      </c>
      <c r="J43" s="1814">
        <v>21114899</v>
      </c>
      <c r="K43" s="3348">
        <v>4957752</v>
      </c>
      <c r="L43" s="4634">
        <v>3529790</v>
      </c>
      <c r="M43" s="1311"/>
      <c r="N43" s="1311"/>
      <c r="O43" s="1311"/>
      <c r="P43" s="1311"/>
      <c r="Q43" s="1311"/>
      <c r="R43" s="1311"/>
    </row>
    <row r="44" spans="1:18" ht="18" customHeight="1" x14ac:dyDescent="0.3">
      <c r="A44" s="2391"/>
      <c r="B44" s="4637" t="s">
        <v>2286</v>
      </c>
      <c r="C44" s="4638" t="s">
        <v>40</v>
      </c>
      <c r="D44" s="2387">
        <f t="shared" si="1"/>
        <v>179.77137840847945</v>
      </c>
      <c r="E44" s="204">
        <f>72.6+47.8+25.6+12.5+69.9+0+8.9</f>
        <v>237.3</v>
      </c>
      <c r="F44" s="1811">
        <v>14566912</v>
      </c>
      <c r="G44" s="1812">
        <v>11025560</v>
      </c>
      <c r="H44" s="1813">
        <v>4503280</v>
      </c>
      <c r="I44" s="1814">
        <v>3483280</v>
      </c>
      <c r="J44" s="1814">
        <v>22400872</v>
      </c>
      <c r="K44" s="3348">
        <v>5230882</v>
      </c>
      <c r="L44" s="4633">
        <v>3885056</v>
      </c>
      <c r="M44" s="1311"/>
      <c r="N44" s="1311"/>
      <c r="O44" s="1311"/>
      <c r="P44" s="1311"/>
      <c r="Q44" s="1311"/>
      <c r="R44" s="1311"/>
    </row>
    <row r="45" spans="1:18" ht="18" customHeight="1" x14ac:dyDescent="0.2">
      <c r="A45" s="2391"/>
      <c r="B45" s="2399" t="s">
        <v>2287</v>
      </c>
      <c r="C45" s="2392" t="s">
        <v>40</v>
      </c>
      <c r="D45" s="2387">
        <f t="shared" si="1"/>
        <v>189.4408592219643</v>
      </c>
      <c r="E45" s="204">
        <f>69+41+19+9+7+5+16</f>
        <v>166</v>
      </c>
      <c r="F45" s="1811">
        <v>15305000</v>
      </c>
      <c r="G45" s="1812">
        <v>11531572</v>
      </c>
      <c r="H45" s="1813">
        <v>4888112</v>
      </c>
      <c r="I45" s="1814">
        <v>3723802</v>
      </c>
      <c r="J45" s="1814">
        <v>22410174</v>
      </c>
      <c r="K45" s="3348">
        <v>4977222</v>
      </c>
      <c r="L45" s="4633">
        <v>3556366</v>
      </c>
      <c r="M45" s="1311"/>
      <c r="N45" s="1311"/>
      <c r="O45" s="1311"/>
      <c r="P45" s="1311"/>
      <c r="Q45" s="1311"/>
      <c r="R45" s="1311"/>
    </row>
    <row r="46" spans="1:18" ht="18" customHeight="1" x14ac:dyDescent="0.2">
      <c r="A46" s="2391"/>
      <c r="B46" s="2399" t="s">
        <v>2288</v>
      </c>
      <c r="C46" s="2396"/>
      <c r="D46" s="2387">
        <f t="shared" si="1"/>
        <v>201.96119405695566</v>
      </c>
      <c r="E46" s="204">
        <f>17.6+13+8.5+4.4+13.8+7.8+11.3</f>
        <v>76.399999999999991</v>
      </c>
      <c r="F46" s="1811">
        <v>16263680</v>
      </c>
      <c r="G46" s="317">
        <v>12197376</v>
      </c>
      <c r="H46" s="2404">
        <v>5212672</v>
      </c>
      <c r="I46" s="1814">
        <v>4058624</v>
      </c>
      <c r="J46" s="1814">
        <v>23441920</v>
      </c>
      <c r="K46" s="3348">
        <v>5230882</v>
      </c>
      <c r="L46" s="4633">
        <v>3750400</v>
      </c>
      <c r="M46" s="1311"/>
      <c r="N46" s="1311"/>
      <c r="O46" s="1311"/>
      <c r="P46" s="1311"/>
      <c r="Q46" s="1311"/>
      <c r="R46" s="1311"/>
    </row>
    <row r="47" spans="1:18" ht="18" customHeight="1" x14ac:dyDescent="0.2">
      <c r="A47" s="2391"/>
      <c r="B47" s="2399" t="s">
        <v>2289</v>
      </c>
      <c r="C47" s="2395"/>
      <c r="D47" s="2387"/>
      <c r="E47" s="204">
        <v>545.44000000000005</v>
      </c>
      <c r="F47" s="1811" t="s">
        <v>482</v>
      </c>
      <c r="G47" s="317" t="s">
        <v>482</v>
      </c>
      <c r="H47" s="1811" t="s">
        <v>482</v>
      </c>
      <c r="I47" s="1814" t="s">
        <v>482</v>
      </c>
      <c r="J47" s="1814">
        <v>18673152</v>
      </c>
      <c r="K47" s="3348" t="s">
        <v>445</v>
      </c>
      <c r="L47" s="4635" t="s">
        <v>445</v>
      </c>
      <c r="M47" s="1311"/>
      <c r="N47" s="1311"/>
      <c r="O47" s="1311"/>
      <c r="P47" s="1311"/>
      <c r="Q47" s="1311"/>
      <c r="R47" s="1311"/>
    </row>
    <row r="48" spans="1:18" ht="18" customHeight="1" x14ac:dyDescent="0.2">
      <c r="A48" s="2391"/>
      <c r="B48" s="2411" t="s">
        <v>2787</v>
      </c>
      <c r="C48" s="2392"/>
      <c r="D48" s="2387"/>
      <c r="E48" s="204">
        <f>62.5+48.5+24.4+11.4+45.1</f>
        <v>191.9</v>
      </c>
      <c r="F48" s="1811">
        <v>15718248</v>
      </c>
      <c r="G48" s="1812">
        <v>12004032</v>
      </c>
      <c r="H48" s="1813">
        <v>4974698</v>
      </c>
      <c r="I48" s="1814">
        <v>3926065</v>
      </c>
      <c r="J48" s="1814">
        <v>23852409</v>
      </c>
      <c r="K48" s="3348" t="s">
        <v>482</v>
      </c>
      <c r="L48" s="4635" t="s">
        <v>482</v>
      </c>
      <c r="M48" s="1311"/>
      <c r="N48" s="1311"/>
      <c r="O48" s="1311"/>
      <c r="P48" s="1311"/>
      <c r="Q48" s="1311"/>
      <c r="R48" s="1311"/>
    </row>
    <row r="49" spans="1:18" ht="18" customHeight="1" x14ac:dyDescent="0.2">
      <c r="A49" s="656"/>
      <c r="B49" s="2405" t="s">
        <v>2290</v>
      </c>
      <c r="C49" s="2396"/>
      <c r="D49" s="2387"/>
      <c r="E49" s="204">
        <v>17</v>
      </c>
      <c r="F49" s="1811" t="s">
        <v>482</v>
      </c>
      <c r="G49" s="1812" t="s">
        <v>482</v>
      </c>
      <c r="H49" s="1813" t="s">
        <v>482</v>
      </c>
      <c r="I49" s="1814" t="s">
        <v>482</v>
      </c>
      <c r="J49" s="1814">
        <v>21082624</v>
      </c>
      <c r="K49" s="3348" t="s">
        <v>445</v>
      </c>
      <c r="L49" s="4635" t="s">
        <v>445</v>
      </c>
      <c r="M49" s="1311"/>
      <c r="N49" s="1311"/>
      <c r="O49" s="1311"/>
      <c r="P49" s="1311"/>
      <c r="Q49" s="1311"/>
      <c r="R49" s="1311"/>
    </row>
    <row r="50" spans="1:18" ht="18" customHeight="1" x14ac:dyDescent="0.2">
      <c r="A50" s="656"/>
      <c r="B50" s="2405" t="s">
        <v>2291</v>
      </c>
      <c r="C50" s="2407"/>
      <c r="D50" s="2387"/>
      <c r="E50" s="204">
        <f>117+114+55+47</f>
        <v>333</v>
      </c>
      <c r="F50" s="1811">
        <v>17854976</v>
      </c>
      <c r="G50" s="1812">
        <v>13778072</v>
      </c>
      <c r="H50" s="1813">
        <v>6751472</v>
      </c>
      <c r="I50" s="1814">
        <v>5588112</v>
      </c>
      <c r="J50" s="1814" t="s">
        <v>482</v>
      </c>
      <c r="K50" s="3348" t="s">
        <v>445</v>
      </c>
      <c r="L50" s="4635" t="s">
        <v>445</v>
      </c>
      <c r="M50" s="1311"/>
      <c r="N50" s="1311"/>
      <c r="O50" s="1311"/>
      <c r="P50" s="1311"/>
      <c r="Q50" s="1311"/>
      <c r="R50" s="1311"/>
    </row>
    <row r="51" spans="1:18" ht="18" customHeight="1" x14ac:dyDescent="0.2">
      <c r="A51" s="656"/>
      <c r="B51" s="2408" t="s">
        <v>2292</v>
      </c>
      <c r="C51" s="2396"/>
      <c r="D51" s="2387"/>
      <c r="E51" s="204">
        <v>70</v>
      </c>
      <c r="F51" s="1811" t="s">
        <v>482</v>
      </c>
      <c r="G51" s="1812" t="s">
        <v>482</v>
      </c>
      <c r="H51" s="1813" t="s">
        <v>482</v>
      </c>
      <c r="I51" s="1814" t="s">
        <v>482</v>
      </c>
      <c r="J51" s="1814">
        <v>23774237</v>
      </c>
      <c r="K51" s="3348" t="s">
        <v>445</v>
      </c>
      <c r="L51" s="4635" t="s">
        <v>445</v>
      </c>
      <c r="M51" s="1311"/>
      <c r="N51" s="1311"/>
      <c r="O51" s="1311"/>
      <c r="P51" s="1311"/>
      <c r="Q51" s="1311"/>
      <c r="R51" s="1311"/>
    </row>
    <row r="52" spans="1:18" ht="18" customHeight="1" x14ac:dyDescent="0.2">
      <c r="A52" s="656"/>
      <c r="B52" s="2405" t="s">
        <v>2293</v>
      </c>
      <c r="C52" s="2407"/>
      <c r="D52" s="2387"/>
      <c r="E52" s="204"/>
      <c r="F52" s="1812" t="s">
        <v>482</v>
      </c>
      <c r="G52" s="1812" t="s">
        <v>482</v>
      </c>
      <c r="H52" s="1812" t="s">
        <v>482</v>
      </c>
      <c r="I52" s="1814" t="s">
        <v>482</v>
      </c>
      <c r="J52" s="1814" t="s">
        <v>482</v>
      </c>
      <c r="K52" s="3348" t="s">
        <v>445</v>
      </c>
      <c r="L52" s="4635" t="s">
        <v>445</v>
      </c>
      <c r="M52" s="1311"/>
      <c r="N52" s="1311"/>
      <c r="O52" s="1311"/>
      <c r="P52" s="1311"/>
      <c r="Q52" s="1311"/>
      <c r="R52" s="1311"/>
    </row>
    <row r="53" spans="1:18" ht="18" customHeight="1" x14ac:dyDescent="0.25">
      <c r="A53" s="656"/>
      <c r="B53" s="2405" t="s">
        <v>2294</v>
      </c>
      <c r="C53" s="2397"/>
      <c r="D53" s="2387"/>
      <c r="E53" s="204"/>
      <c r="F53" s="1811" t="s">
        <v>482</v>
      </c>
      <c r="G53" s="1812" t="s">
        <v>482</v>
      </c>
      <c r="H53" s="1813" t="s">
        <v>482</v>
      </c>
      <c r="I53" s="1814" t="s">
        <v>482</v>
      </c>
      <c r="J53" s="1814">
        <v>19836775</v>
      </c>
      <c r="K53" s="3348" t="s">
        <v>445</v>
      </c>
      <c r="L53" s="4635" t="s">
        <v>445</v>
      </c>
      <c r="M53" s="1311"/>
      <c r="N53" s="1311"/>
      <c r="O53" s="1311"/>
      <c r="P53" s="1311"/>
      <c r="Q53" s="1311"/>
      <c r="R53" s="1311"/>
    </row>
    <row r="54" spans="1:18" ht="18" customHeight="1" x14ac:dyDescent="0.2">
      <c r="A54" s="656"/>
      <c r="B54" s="2405" t="s">
        <v>2309</v>
      </c>
      <c r="C54" s="2396"/>
      <c r="D54" s="2387"/>
      <c r="E54" s="204">
        <f>0+0+51.4+22.5+0</f>
        <v>73.900000000000006</v>
      </c>
      <c r="F54" s="1811" t="s">
        <v>482</v>
      </c>
      <c r="G54" s="1812" t="s">
        <v>482</v>
      </c>
      <c r="H54" s="1813">
        <v>3472224</v>
      </c>
      <c r="I54" s="1814">
        <v>2812928</v>
      </c>
      <c r="J54" s="1814" t="s">
        <v>482</v>
      </c>
      <c r="K54" s="3348" t="s">
        <v>445</v>
      </c>
      <c r="L54" s="4635" t="s">
        <v>445</v>
      </c>
      <c r="M54" s="1311"/>
      <c r="N54" s="1311"/>
      <c r="O54" s="1311"/>
      <c r="P54" s="1311"/>
      <c r="Q54" s="1311"/>
      <c r="R54" s="1311"/>
    </row>
    <row r="55" spans="1:18" ht="18" customHeight="1" x14ac:dyDescent="0.2">
      <c r="A55" s="656"/>
      <c r="B55" s="2408" t="s">
        <v>2310</v>
      </c>
      <c r="C55" s="2396"/>
      <c r="D55" s="2387"/>
      <c r="E55" s="204">
        <f>53+34+17+7+49</f>
        <v>160</v>
      </c>
      <c r="F55" s="1811">
        <v>12645771</v>
      </c>
      <c r="G55" s="1812">
        <v>9168778</v>
      </c>
      <c r="H55" s="1813">
        <v>3647874</v>
      </c>
      <c r="I55" s="1814">
        <v>2861557</v>
      </c>
      <c r="J55" s="1814">
        <v>19827240</v>
      </c>
      <c r="K55" s="3348" t="s">
        <v>2788</v>
      </c>
      <c r="L55" s="4635" t="s">
        <v>2789</v>
      </c>
      <c r="M55" s="1311"/>
      <c r="N55" s="1311"/>
      <c r="O55" s="1311"/>
      <c r="P55" s="1311"/>
      <c r="Q55" s="1311"/>
      <c r="R55" s="1311"/>
    </row>
    <row r="56" spans="1:18" ht="18" customHeight="1" x14ac:dyDescent="0.2">
      <c r="A56" s="656"/>
      <c r="B56" s="2405" t="s">
        <v>2295</v>
      </c>
      <c r="C56" s="2407"/>
      <c r="D56" s="2387"/>
      <c r="E56" s="204">
        <f>66+51+25+13</f>
        <v>155</v>
      </c>
      <c r="F56" s="1811">
        <v>16061440</v>
      </c>
      <c r="G56" s="1812">
        <v>12493824</v>
      </c>
      <c r="H56" s="1813">
        <v>5364736</v>
      </c>
      <c r="I56" s="1814">
        <v>4146688</v>
      </c>
      <c r="J56" s="1814" t="s">
        <v>482</v>
      </c>
      <c r="K56" s="3348" t="s">
        <v>445</v>
      </c>
      <c r="L56" s="4635" t="s">
        <v>445</v>
      </c>
      <c r="M56" s="1311"/>
      <c r="N56" s="1311"/>
      <c r="O56" s="1311"/>
      <c r="P56" s="1311"/>
      <c r="Q56" s="1311"/>
      <c r="R56" s="1311"/>
    </row>
    <row r="57" spans="1:18" ht="18" customHeight="1" x14ac:dyDescent="0.2">
      <c r="A57" s="656"/>
      <c r="B57" s="2406" t="s">
        <v>2311</v>
      </c>
      <c r="C57" s="2396"/>
      <c r="D57" s="2387"/>
      <c r="E57" s="204"/>
      <c r="F57" s="1811" t="s">
        <v>482</v>
      </c>
      <c r="G57" s="1812" t="s">
        <v>482</v>
      </c>
      <c r="H57" s="1813" t="s">
        <v>482</v>
      </c>
      <c r="I57" s="1814" t="s">
        <v>482</v>
      </c>
      <c r="J57" s="1814">
        <v>19901620</v>
      </c>
      <c r="K57" s="3348" t="s">
        <v>445</v>
      </c>
      <c r="L57" s="4635" t="s">
        <v>445</v>
      </c>
      <c r="M57" s="1311"/>
      <c r="N57" s="1311"/>
      <c r="O57" s="1311"/>
      <c r="P57" s="1311"/>
      <c r="Q57" s="1311"/>
      <c r="R57" s="1311"/>
    </row>
    <row r="58" spans="1:18" ht="18" customHeight="1" x14ac:dyDescent="0.2">
      <c r="A58" s="656"/>
      <c r="B58" s="2405" t="s">
        <v>2296</v>
      </c>
      <c r="C58" s="2407"/>
      <c r="D58" s="2387"/>
      <c r="E58" s="204"/>
      <c r="F58" s="1811" t="s">
        <v>482</v>
      </c>
      <c r="G58" s="1812" t="s">
        <v>482</v>
      </c>
      <c r="H58" s="1813" t="s">
        <v>482</v>
      </c>
      <c r="I58" s="1814" t="s">
        <v>482</v>
      </c>
      <c r="J58" s="1814" t="s">
        <v>482</v>
      </c>
      <c r="K58" s="3348" t="s">
        <v>445</v>
      </c>
      <c r="L58" s="4635" t="s">
        <v>445</v>
      </c>
      <c r="M58" s="1311"/>
      <c r="N58" s="1311"/>
      <c r="O58" s="1311"/>
      <c r="P58" s="1311"/>
      <c r="Q58" s="1311"/>
      <c r="R58" s="1311"/>
    </row>
    <row r="59" spans="1:18" ht="18" customHeight="1" x14ac:dyDescent="0.2">
      <c r="A59" s="656"/>
      <c r="B59" s="2405" t="s">
        <v>2297</v>
      </c>
      <c r="C59" s="2396"/>
      <c r="D59" s="2387"/>
      <c r="E59" s="204"/>
      <c r="F59" s="1811" t="s">
        <v>482</v>
      </c>
      <c r="G59" s="1812" t="s">
        <v>482</v>
      </c>
      <c r="H59" s="1813" t="s">
        <v>482</v>
      </c>
      <c r="I59" s="1814" t="s">
        <v>482</v>
      </c>
      <c r="J59" s="1814">
        <v>23243112</v>
      </c>
      <c r="K59" s="3348" t="s">
        <v>445</v>
      </c>
      <c r="L59" s="4635" t="s">
        <v>445</v>
      </c>
      <c r="M59" s="1311"/>
      <c r="N59" s="1311"/>
      <c r="O59" s="1311"/>
      <c r="P59" s="1311"/>
      <c r="Q59" s="1311"/>
      <c r="R59" s="1311"/>
    </row>
    <row r="60" spans="1:18" ht="18" customHeight="1" x14ac:dyDescent="0.2">
      <c r="A60" s="656"/>
      <c r="B60" s="2405" t="s">
        <v>2298</v>
      </c>
      <c r="C60" s="2403"/>
      <c r="D60" s="2387"/>
      <c r="E60" s="204"/>
      <c r="F60" s="1811" t="s">
        <v>482</v>
      </c>
      <c r="G60" s="1812" t="s">
        <v>482</v>
      </c>
      <c r="H60" s="1813" t="s">
        <v>482</v>
      </c>
      <c r="I60" s="1814" t="s">
        <v>482</v>
      </c>
      <c r="J60" s="1814">
        <v>25279336</v>
      </c>
      <c r="K60" s="3348" t="s">
        <v>445</v>
      </c>
      <c r="L60" s="4635" t="s">
        <v>445</v>
      </c>
      <c r="M60" s="1311"/>
      <c r="N60" s="1311"/>
      <c r="O60" s="1311"/>
      <c r="P60" s="1311"/>
      <c r="Q60" s="1311"/>
      <c r="R60" s="1311"/>
    </row>
    <row r="61" spans="1:18" ht="18" customHeight="1" x14ac:dyDescent="0.2">
      <c r="A61" s="656"/>
      <c r="B61" s="2409" t="s">
        <v>2299</v>
      </c>
      <c r="C61" s="575"/>
      <c r="D61" s="2387"/>
      <c r="E61" s="204"/>
      <c r="F61" s="1811" t="s">
        <v>482</v>
      </c>
      <c r="G61" s="1812" t="s">
        <v>482</v>
      </c>
      <c r="H61" s="1813" t="s">
        <v>482</v>
      </c>
      <c r="I61" s="1814" t="s">
        <v>482</v>
      </c>
      <c r="J61" s="1814">
        <v>22565224</v>
      </c>
      <c r="K61" s="3348" t="s">
        <v>445</v>
      </c>
      <c r="L61" s="4635" t="s">
        <v>445</v>
      </c>
      <c r="M61" s="1311"/>
      <c r="N61" s="1311"/>
      <c r="O61" s="1311"/>
      <c r="P61" s="1311"/>
      <c r="Q61" s="1311"/>
      <c r="R61" s="1311"/>
    </row>
    <row r="62" spans="1:18" ht="18" customHeight="1" x14ac:dyDescent="0.2">
      <c r="A62" s="656"/>
      <c r="B62" s="2409" t="s">
        <v>2300</v>
      </c>
      <c r="C62" s="2396"/>
      <c r="D62" s="2387"/>
      <c r="E62" s="204"/>
      <c r="F62" s="1811" t="s">
        <v>482</v>
      </c>
      <c r="G62" s="1812" t="s">
        <v>482</v>
      </c>
      <c r="H62" s="1813" t="s">
        <v>482</v>
      </c>
      <c r="I62" s="1814" t="s">
        <v>482</v>
      </c>
      <c r="J62" s="1814">
        <v>22735208</v>
      </c>
      <c r="K62" s="3348" t="s">
        <v>445</v>
      </c>
      <c r="L62" s="4635" t="s">
        <v>445</v>
      </c>
      <c r="M62" s="1311"/>
      <c r="N62" s="1311"/>
      <c r="O62" s="1311"/>
      <c r="P62" s="1311"/>
      <c r="Q62" s="1311"/>
      <c r="R62" s="1311"/>
    </row>
    <row r="63" spans="1:18" ht="18" customHeight="1" x14ac:dyDescent="0.2">
      <c r="A63" s="656"/>
      <c r="B63" s="2405" t="s">
        <v>2301</v>
      </c>
      <c r="C63" s="2396"/>
      <c r="D63" s="2387"/>
      <c r="E63" s="204"/>
      <c r="F63" s="1811" t="s">
        <v>482</v>
      </c>
      <c r="G63" s="1812" t="s">
        <v>482</v>
      </c>
      <c r="H63" s="1813" t="s">
        <v>482</v>
      </c>
      <c r="I63" s="1814" t="s">
        <v>482</v>
      </c>
      <c r="J63" s="1814">
        <v>19845480</v>
      </c>
      <c r="K63" s="3348" t="s">
        <v>445</v>
      </c>
      <c r="L63" s="4635" t="s">
        <v>445</v>
      </c>
      <c r="M63" s="1311"/>
      <c r="N63" s="1311"/>
      <c r="O63" s="1311"/>
      <c r="P63" s="1311"/>
      <c r="Q63" s="1311"/>
      <c r="R63" s="1311"/>
    </row>
    <row r="64" spans="1:18" ht="18" customHeight="1" x14ac:dyDescent="0.2">
      <c r="A64" s="656"/>
      <c r="B64" s="2405" t="s">
        <v>2302</v>
      </c>
      <c r="C64" s="2396"/>
      <c r="D64" s="2387"/>
      <c r="E64" s="204"/>
      <c r="F64" s="1811" t="s">
        <v>482</v>
      </c>
      <c r="G64" s="1812" t="s">
        <v>482</v>
      </c>
      <c r="H64" s="1813" t="s">
        <v>482</v>
      </c>
      <c r="I64" s="1814" t="s">
        <v>482</v>
      </c>
      <c r="J64" s="1814">
        <v>19828072</v>
      </c>
      <c r="K64" s="3348" t="s">
        <v>445</v>
      </c>
      <c r="L64" s="4635" t="s">
        <v>445</v>
      </c>
      <c r="M64" s="1311"/>
      <c r="N64" s="1311"/>
      <c r="O64" s="1311"/>
      <c r="P64" s="1311"/>
      <c r="Q64" s="1311"/>
      <c r="R64" s="1311"/>
    </row>
    <row r="65" spans="1:18" ht="18" customHeight="1" x14ac:dyDescent="0.2">
      <c r="A65" s="656"/>
      <c r="B65" s="2405" t="s">
        <v>2303</v>
      </c>
      <c r="C65" s="2396"/>
      <c r="D65" s="2387"/>
      <c r="E65" s="204">
        <f>68+52+14</f>
        <v>134</v>
      </c>
      <c r="F65" s="1811">
        <v>15724544</v>
      </c>
      <c r="G65" s="1812">
        <v>12148376</v>
      </c>
      <c r="H65" s="1813" t="s">
        <v>482</v>
      </c>
      <c r="I65" s="1814">
        <v>3961488</v>
      </c>
      <c r="J65" s="1814" t="s">
        <v>482</v>
      </c>
      <c r="K65" s="3348" t="s">
        <v>445</v>
      </c>
      <c r="L65" s="4635" t="s">
        <v>445</v>
      </c>
      <c r="M65" s="1311"/>
      <c r="N65" s="1311"/>
      <c r="O65" s="1311"/>
      <c r="P65" s="1311"/>
      <c r="Q65" s="1311"/>
      <c r="R65" s="1311"/>
    </row>
    <row r="66" spans="1:18" ht="18" customHeight="1" x14ac:dyDescent="0.2">
      <c r="A66" s="656"/>
      <c r="B66" s="2405" t="s">
        <v>2304</v>
      </c>
      <c r="C66" s="2396"/>
      <c r="D66" s="2387"/>
      <c r="E66" s="204">
        <f>556+435</f>
        <v>991</v>
      </c>
      <c r="F66" s="1811">
        <v>16744448</v>
      </c>
      <c r="G66" s="1812">
        <v>12576920</v>
      </c>
      <c r="H66" s="1813" t="s">
        <v>482</v>
      </c>
      <c r="I66" s="1814">
        <v>3976848</v>
      </c>
      <c r="J66" s="1814" t="s">
        <v>482</v>
      </c>
      <c r="K66" s="3348" t="s">
        <v>445</v>
      </c>
      <c r="L66" s="4635" t="s">
        <v>445</v>
      </c>
      <c r="M66" s="1311"/>
      <c r="N66" s="1311"/>
      <c r="O66" s="1311"/>
      <c r="P66" s="1311"/>
      <c r="Q66" s="1311"/>
      <c r="R66" s="1311"/>
    </row>
    <row r="67" spans="1:18" ht="18" customHeight="1" x14ac:dyDescent="0.2">
      <c r="A67" s="656"/>
      <c r="B67" s="2405" t="s">
        <v>2305</v>
      </c>
      <c r="C67" s="2396"/>
      <c r="D67" s="2387"/>
      <c r="E67" s="204">
        <v>7542.9</v>
      </c>
      <c r="F67" s="1811" t="s">
        <v>482</v>
      </c>
      <c r="G67" s="1812" t="s">
        <v>482</v>
      </c>
      <c r="H67" s="1813" t="s">
        <v>482</v>
      </c>
      <c r="I67" s="1814" t="s">
        <v>482</v>
      </c>
      <c r="J67" s="1814">
        <v>23692372</v>
      </c>
      <c r="K67" s="3348" t="s">
        <v>445</v>
      </c>
      <c r="L67" s="4635" t="s">
        <v>445</v>
      </c>
      <c r="M67" s="1311"/>
      <c r="N67" s="1311"/>
      <c r="O67" s="1311"/>
      <c r="P67" s="1311"/>
      <c r="Q67" s="1311"/>
      <c r="R67" s="1311"/>
    </row>
    <row r="68" spans="1:18" ht="18" customHeight="1" x14ac:dyDescent="0.2">
      <c r="A68" s="656"/>
      <c r="B68" s="2405" t="s">
        <v>2306</v>
      </c>
      <c r="C68" s="2407"/>
      <c r="D68" s="2387"/>
      <c r="E68" s="204"/>
      <c r="F68" s="1811" t="s">
        <v>482</v>
      </c>
      <c r="G68" s="1812" t="s">
        <v>482</v>
      </c>
      <c r="H68" s="1813" t="s">
        <v>482</v>
      </c>
      <c r="I68" s="1814" t="s">
        <v>482</v>
      </c>
      <c r="J68" s="1814" t="s">
        <v>482</v>
      </c>
      <c r="K68" s="3348" t="s">
        <v>445</v>
      </c>
      <c r="L68" s="4635" t="s">
        <v>445</v>
      </c>
      <c r="M68" s="1311"/>
      <c r="N68" s="1311"/>
      <c r="O68" s="1311"/>
      <c r="P68" s="1311"/>
      <c r="Q68" s="1311"/>
      <c r="R68" s="1311"/>
    </row>
    <row r="69" spans="1:18" ht="18" customHeight="1" x14ac:dyDescent="0.2">
      <c r="A69" s="656"/>
      <c r="B69" s="2408" t="s">
        <v>2307</v>
      </c>
      <c r="C69" s="2407"/>
      <c r="D69" s="2387"/>
      <c r="E69" s="204">
        <v>31</v>
      </c>
      <c r="F69" s="1811">
        <v>15778816</v>
      </c>
      <c r="G69" s="1812" t="s">
        <v>482</v>
      </c>
      <c r="H69" s="1813" t="s">
        <v>482</v>
      </c>
      <c r="I69" s="1814" t="s">
        <v>482</v>
      </c>
      <c r="J69" s="1814" t="s">
        <v>482</v>
      </c>
      <c r="K69" s="3348" t="s">
        <v>445</v>
      </c>
      <c r="L69" s="4635" t="s">
        <v>445</v>
      </c>
      <c r="M69" s="1311"/>
      <c r="N69" s="1311"/>
      <c r="O69" s="1311"/>
      <c r="P69" s="1311"/>
      <c r="Q69" s="1311"/>
      <c r="R69" s="1311"/>
    </row>
    <row r="70" spans="1:18" ht="18" customHeight="1" x14ac:dyDescent="0.2">
      <c r="A70" s="656"/>
      <c r="B70" s="2405" t="s">
        <v>2308</v>
      </c>
      <c r="C70" s="2407"/>
      <c r="D70" s="2387"/>
      <c r="E70" s="204">
        <f>75+77+55+37</f>
        <v>244</v>
      </c>
      <c r="F70" s="1811">
        <v>18425344</v>
      </c>
      <c r="G70" s="1812">
        <v>15329944</v>
      </c>
      <c r="H70" s="1813">
        <v>8087280</v>
      </c>
      <c r="I70" s="1814">
        <v>6620304</v>
      </c>
      <c r="J70" s="1814" t="s">
        <v>482</v>
      </c>
      <c r="K70" s="3348" t="s">
        <v>445</v>
      </c>
      <c r="L70" s="4635" t="s">
        <v>445</v>
      </c>
      <c r="M70" s="1311"/>
      <c r="N70" s="1311"/>
      <c r="O70" s="1311"/>
      <c r="P70" s="1311"/>
      <c r="Q70" s="1311"/>
      <c r="R70" s="1311"/>
    </row>
    <row r="71" spans="1:18" ht="18" customHeight="1" x14ac:dyDescent="0.2">
      <c r="A71" s="656"/>
      <c r="B71" s="2406" t="s">
        <v>2314</v>
      </c>
      <c r="C71" s="2396"/>
      <c r="D71" s="2387"/>
      <c r="E71" s="204"/>
      <c r="F71" s="1811" t="s">
        <v>482</v>
      </c>
      <c r="G71" s="1812" t="s">
        <v>482</v>
      </c>
      <c r="H71" s="1813" t="s">
        <v>482</v>
      </c>
      <c r="I71" s="1814" t="s">
        <v>482</v>
      </c>
      <c r="J71" s="1814" t="s">
        <v>446</v>
      </c>
      <c r="K71" s="3348" t="s">
        <v>445</v>
      </c>
      <c r="L71" s="4635" t="s">
        <v>445</v>
      </c>
      <c r="M71" s="1311"/>
      <c r="N71" s="1311"/>
      <c r="O71" s="1311"/>
      <c r="P71" s="1311"/>
      <c r="Q71" s="1311"/>
      <c r="R71" s="1311"/>
    </row>
    <row r="72" spans="1:18" ht="18" customHeight="1" x14ac:dyDescent="0.2">
      <c r="A72" s="656"/>
      <c r="B72" s="2415" t="s">
        <v>2313</v>
      </c>
      <c r="C72" s="2392"/>
      <c r="D72" s="1597"/>
      <c r="E72" s="1549"/>
      <c r="F72" s="1811" t="s">
        <v>482</v>
      </c>
      <c r="G72" s="1812" t="s">
        <v>482</v>
      </c>
      <c r="H72" s="304" t="s">
        <v>482</v>
      </c>
      <c r="I72" s="1814" t="s">
        <v>482</v>
      </c>
      <c r="J72" s="1814" t="s">
        <v>482</v>
      </c>
      <c r="K72" s="3348" t="s">
        <v>445</v>
      </c>
      <c r="L72" s="4635" t="s">
        <v>445</v>
      </c>
      <c r="M72" s="1311"/>
      <c r="N72" s="1311"/>
      <c r="O72" s="1311"/>
      <c r="P72" s="1311"/>
      <c r="Q72" s="1311"/>
      <c r="R72" s="1311"/>
    </row>
    <row r="73" spans="1:18" ht="18" customHeight="1" x14ac:dyDescent="0.2">
      <c r="A73" s="656"/>
      <c r="B73" s="525"/>
      <c r="C73" s="575"/>
      <c r="D73" s="1629"/>
      <c r="E73" s="1630"/>
      <c r="F73" s="177"/>
      <c r="G73" s="177"/>
      <c r="H73" s="177"/>
      <c r="I73" s="177"/>
      <c r="J73" s="177"/>
      <c r="K73" s="177"/>
      <c r="L73" s="2345"/>
      <c r="M73" s="1311"/>
      <c r="N73" s="1311"/>
      <c r="O73" s="1311"/>
      <c r="P73" s="1311"/>
      <c r="Q73" s="1311"/>
      <c r="R73" s="1311"/>
    </row>
    <row r="74" spans="1:18" ht="18" customHeight="1" x14ac:dyDescent="0.2">
      <c r="A74" s="656"/>
      <c r="B74" s="140" t="s">
        <v>2744</v>
      </c>
      <c r="C74" s="575"/>
      <c r="D74" s="1629"/>
      <c r="E74" s="1630"/>
      <c r="F74" s="177"/>
      <c r="G74" s="177"/>
      <c r="H74" s="177"/>
      <c r="I74" s="177"/>
      <c r="J74" s="177"/>
      <c r="K74" s="177"/>
      <c r="L74" s="2345"/>
      <c r="M74" s="1311"/>
      <c r="N74" s="1311"/>
      <c r="O74" s="1311"/>
      <c r="P74" s="1311"/>
      <c r="Q74" s="1311"/>
      <c r="R74" s="1311"/>
    </row>
    <row r="75" spans="1:18" ht="18" customHeight="1" x14ac:dyDescent="0.2">
      <c r="A75" s="656"/>
      <c r="B75" s="140" t="s">
        <v>2745</v>
      </c>
      <c r="C75" s="575"/>
      <c r="D75" s="1629"/>
      <c r="E75" s="1630"/>
      <c r="F75" s="177"/>
      <c r="G75" s="177"/>
      <c r="H75" s="177"/>
      <c r="I75" s="177"/>
      <c r="J75" s="177"/>
      <c r="K75" s="177"/>
      <c r="L75" s="2345"/>
      <c r="M75" s="1311"/>
      <c r="N75" s="1311"/>
      <c r="O75" s="1311"/>
      <c r="P75" s="1311"/>
      <c r="Q75" s="1311"/>
      <c r="R75" s="1311"/>
    </row>
    <row r="76" spans="1:18" ht="18" customHeight="1" x14ac:dyDescent="0.2">
      <c r="A76" s="656"/>
      <c r="B76" s="1631"/>
      <c r="C76" s="575"/>
      <c r="D76" s="1629"/>
      <c r="E76" s="1630"/>
      <c r="F76" s="177"/>
      <c r="G76" s="177"/>
      <c r="H76" s="177"/>
      <c r="I76" s="177"/>
      <c r="J76" s="177"/>
      <c r="K76" s="177"/>
      <c r="L76" s="2345"/>
      <c r="M76" s="1311"/>
      <c r="N76" s="1311"/>
      <c r="O76" s="1311"/>
      <c r="P76" s="1311"/>
      <c r="Q76" s="1311"/>
      <c r="R76" s="1311"/>
    </row>
    <row r="77" spans="1:18" ht="18" customHeight="1" x14ac:dyDescent="0.2">
      <c r="A77" s="656"/>
      <c r="B77" s="525"/>
      <c r="C77" s="575"/>
      <c r="D77" s="1629"/>
      <c r="E77" s="1630"/>
      <c r="F77" s="177"/>
      <c r="G77" s="177"/>
      <c r="H77" s="177"/>
      <c r="I77" s="177"/>
      <c r="J77" s="177"/>
      <c r="K77" s="177"/>
      <c r="L77" s="2345"/>
      <c r="M77" s="1311"/>
      <c r="N77" s="1311"/>
      <c r="O77" s="1311"/>
      <c r="P77" s="1311"/>
      <c r="Q77" s="1311"/>
      <c r="R77" s="1311"/>
    </row>
    <row r="78" spans="1:18" ht="26.25" customHeight="1" x14ac:dyDescent="0.2">
      <c r="A78" s="656"/>
      <c r="B78" s="145"/>
      <c r="C78" s="2345"/>
      <c r="D78" s="2345"/>
      <c r="E78" s="2345"/>
      <c r="F78" s="2345"/>
      <c r="G78" s="2345"/>
      <c r="H78" s="2345"/>
      <c r="I78" s="2345"/>
      <c r="J78" s="2345"/>
      <c r="K78" s="2345"/>
      <c r="L78" s="2345"/>
      <c r="M78" s="1311"/>
      <c r="N78" s="1311"/>
      <c r="O78" s="1311"/>
      <c r="P78" s="1311"/>
      <c r="Q78" s="1311"/>
      <c r="R78" s="1311"/>
    </row>
  </sheetData>
  <sortState ref="B12:L14">
    <sortCondition ref="D12:D14"/>
  </sortState>
  <mergeCells count="4">
    <mergeCell ref="C1:L3"/>
    <mergeCell ref="D5:D9"/>
    <mergeCell ref="E5:E9"/>
    <mergeCell ref="B6:B7"/>
  </mergeCells>
  <conditionalFormatting sqref="I12:I77">
    <cfRule type="cellIs" dxfId="97" priority="7" operator="equal">
      <formula>MIN(I$12:I$72)</formula>
    </cfRule>
    <cfRule type="cellIs" dxfId="96" priority="8" operator="lessThan">
      <formula>MIN(I$12:I$71)*1.1</formula>
    </cfRule>
    <cfRule type="colorScale" priority="9">
      <colorScale>
        <cfvo type="min"/>
        <cfvo type="percentile" val="50"/>
        <cfvo type="percentile" val="90"/>
        <color rgb="FF63BE7B"/>
        <color rgb="FFFFFF99"/>
        <color rgb="FFF8696B"/>
      </colorScale>
    </cfRule>
  </conditionalFormatting>
  <conditionalFormatting sqref="J12:J77">
    <cfRule type="cellIs" dxfId="95" priority="10" operator="equal">
      <formula>MIN(J$12:J$72)</formula>
    </cfRule>
    <cfRule type="cellIs" dxfId="94" priority="11" operator="lessThan">
      <formula>MIN(J$12:J$71)*1.1</formula>
    </cfRule>
    <cfRule type="colorScale" priority="12">
      <colorScale>
        <cfvo type="min"/>
        <cfvo type="percentile" val="50"/>
        <cfvo type="percentile" val="90"/>
        <color rgb="FF63BE7B"/>
        <color rgb="FFFFEB84"/>
        <color rgb="FFF8696B"/>
      </colorScale>
    </cfRule>
  </conditionalFormatting>
  <conditionalFormatting sqref="D11:D77">
    <cfRule type="dataBar" priority="13">
      <dataBar>
        <cfvo type="min"/>
        <cfvo type="max"/>
        <color rgb="FFFF555A"/>
      </dataBar>
      <extLst>
        <ext xmlns:x14="http://schemas.microsoft.com/office/spreadsheetml/2009/9/main" uri="{B025F937-C7B1-47D3-B67F-A62EFF666E3E}">
          <x14:id>{7632148A-C89D-4957-A572-F6FD6AF4736D}</x14:id>
        </ext>
      </extLst>
    </cfRule>
  </conditionalFormatting>
  <conditionalFormatting sqref="F12:F77">
    <cfRule type="cellIs" dxfId="93" priority="14" operator="equal">
      <formula>MIN(F$12:F$72)</formula>
    </cfRule>
    <cfRule type="cellIs" dxfId="92" priority="15" operator="lessThan">
      <formula>MIN(F$12:F$71)*1.1</formula>
    </cfRule>
    <cfRule type="colorScale" priority="16">
      <colorScale>
        <cfvo type="min"/>
        <cfvo type="percentile" val="50"/>
        <cfvo type="percentile" val="90"/>
        <color rgb="FF63BE7B"/>
        <color rgb="FFFFFF99"/>
        <color rgb="FFF8696B"/>
      </colorScale>
    </cfRule>
  </conditionalFormatting>
  <conditionalFormatting sqref="G12:G77">
    <cfRule type="cellIs" dxfId="91" priority="17" operator="equal">
      <formula>MIN(G$12:G$72)</formula>
    </cfRule>
    <cfRule type="cellIs" dxfId="90" priority="18" operator="lessThan">
      <formula>MIN(G$12:G$71)*1.1</formula>
    </cfRule>
    <cfRule type="colorScale" priority="19">
      <colorScale>
        <cfvo type="min"/>
        <cfvo type="percentile" val="50"/>
        <cfvo type="percentile" val="90"/>
        <color rgb="FF63BE7B"/>
        <color rgb="FFFFFF99"/>
        <color rgb="FFF8696B"/>
      </colorScale>
    </cfRule>
  </conditionalFormatting>
  <conditionalFormatting sqref="H12:H77">
    <cfRule type="cellIs" dxfId="89" priority="20" operator="equal">
      <formula>MIN(H$12:H$72)</formula>
    </cfRule>
    <cfRule type="cellIs" dxfId="88" priority="21" operator="lessThan">
      <formula>MIN(H$12:H$71)*1.1</formula>
    </cfRule>
    <cfRule type="colorScale" priority="22">
      <colorScale>
        <cfvo type="min"/>
        <cfvo type="percentile" val="50"/>
        <cfvo type="percentile" val="90"/>
        <color rgb="FF63BE7B"/>
        <color rgb="FFFFFF99"/>
        <color rgb="FFF8696B"/>
      </colorScale>
    </cfRule>
  </conditionalFormatting>
  <conditionalFormatting sqref="E12:E72">
    <cfRule type="dataBar" priority="23">
      <dataBar>
        <cfvo type="min"/>
        <cfvo type="max"/>
        <color rgb="FFFF555A"/>
      </dataBar>
      <extLst>
        <ext xmlns:x14="http://schemas.microsoft.com/office/spreadsheetml/2009/9/main" uri="{B025F937-C7B1-47D3-B67F-A62EFF666E3E}">
          <x14:id>{96C9489C-1122-4181-A952-D71C5D604908}</x14:id>
        </ext>
      </extLst>
    </cfRule>
  </conditionalFormatting>
  <conditionalFormatting sqref="K12:K48">
    <cfRule type="cellIs" dxfId="87" priority="4" operator="equal">
      <formula>MIN(K$12:K$71)</formula>
    </cfRule>
    <cfRule type="cellIs" dxfId="86" priority="5" operator="lessThan">
      <formula>MIN(K$12:K$71)*1.1</formula>
    </cfRule>
    <cfRule type="colorScale" priority="6">
      <colorScale>
        <cfvo type="min"/>
        <cfvo type="percentile" val="50"/>
        <cfvo type="percentile" val="90"/>
        <color rgb="FF63BE7B"/>
        <color rgb="FFFFEB84"/>
        <color rgb="FFF8696B"/>
      </colorScale>
    </cfRule>
  </conditionalFormatting>
  <conditionalFormatting sqref="L12:L48">
    <cfRule type="cellIs" dxfId="85" priority="1" operator="equal">
      <formula>MIN(L$12:L$71)</formula>
    </cfRule>
    <cfRule type="cellIs" dxfId="84" priority="2" operator="lessThan">
      <formula>MIN(L$12:L$71)*1.1</formula>
    </cfRule>
    <cfRule type="colorScale" priority="3">
      <colorScale>
        <cfvo type="min"/>
        <cfvo type="percentile" val="50"/>
        <cfvo type="percentile" val="90"/>
        <color rgb="FF63BE7B"/>
        <color rgb="FFFFEB84"/>
        <color rgb="FFF8696B"/>
      </colorScale>
    </cfRule>
  </conditionalFormatting>
  <hyperlinks>
    <hyperlink ref="B2" r:id="rId1"/>
    <hyperlink ref="B20" r:id="rId2" location="1532" display="FP8_v3 -7 (2012) Jan Ondrus"/>
    <hyperlink ref="B25" r:id="rId3" display="ZCM 0.92 -m7 -r -s (2014) Francesco Nania"/>
    <hyperlink ref="J8" r:id="rId4" display="link to artist"/>
    <hyperlink ref="J5" r:id="rId5"/>
    <hyperlink ref="B38" r:id="rId6" display="Packet 1.9 -mx -s -b5 -h9 Francesco Nania"/>
    <hyperlink ref="B17" r:id="rId7" display="Emma 0.1.22 [x64] preset 'images (slow)' Márcio Pais"/>
    <hyperlink ref="F8" r:id="rId8"/>
    <hyperlink ref="G8" r:id="rId9"/>
    <hyperlink ref="H8" r:id="rId10"/>
    <hyperlink ref="I8" r:id="rId11"/>
    <hyperlink ref="B22" r:id="rId12" display="NanoZip 0.08 ('10) Sami Runsas CM:2GB"/>
    <hyperlink ref="B24" r:id="rId13" display="MCM 0.81 -9 (2015) Mathieu Chartier)"/>
    <hyperlink ref="B27" r:id="rId14" display="ZPAQ 6.33 -method 77 ('13) Matt Mahoney"/>
    <hyperlink ref="B34" r:id="rId15" display="FreeARC 0.67 (2012) ultra Bulat Zigashin"/>
    <hyperlink ref="B30" r:id="rId16" display="FreeARC'Next 0.11 -mx9 (2016) Bulat Ziganshin"/>
    <hyperlink ref="B36" r:id="rId17" display="TANGELO 2.3 (2016) Jan Ondrus &amp; "/>
    <hyperlink ref="B35" r:id="rId18" display="7-ZIP 9.2.5 LZMA2 ultra128:fb=273:mf=bt4:lc4"/>
    <hyperlink ref="B26" r:id="rId19" display="PPMonstr ver J (06) -o16 -m800 D. Shkarin"/>
    <hyperlink ref="B33" r:id="rId20" display="UHARC 0.6b -mx/3 -mm+ -md+ 32 MB"/>
    <hyperlink ref="B19" r:id="rId21" display="PAQ8pxd_v18 -s8:2 M. Mahoney, K. Orav et al."/>
    <hyperlink ref="B23" r:id="rId22" display="SLIM 0.23d (2004) -o16 -m800 S. Voskoboynikov"/>
    <hyperlink ref="B66" r:id="rId23" display="PESpin1.32 (2016)"/>
    <hyperlink ref="B46" r:id="rId24" display="Cexe 1.0b"/>
    <hyperlink ref="B70" r:id="rId25" display="Themida 2.4"/>
    <hyperlink ref="B50" r:id="rId26" display="Enigma Protector 4.40 (2016)"/>
    <hyperlink ref="B52" r:id="rId27" display="kkrunchy 0.23a2"/>
    <hyperlink ref="B53" r:id="rId28" display="MEW 11 SE 2"/>
    <hyperlink ref="B56" r:id="rId29" display="Obsidium 1.6.0 (2017)"/>
    <hyperlink ref="B67" r:id="rId30" display="Petite 2.4"/>
    <hyperlink ref="B68" r:id="rId31" display="SmartPacker Pro 1.9"/>
    <hyperlink ref="B64" r:id="rId32" display="PECompact v2.79d (30.07.2006) (LZMA)"/>
    <hyperlink ref="B58" r:id="rId33"/>
    <hyperlink ref="B49" r:id="rId34" display="ASPack v2.12 (28.08.2002)"/>
    <hyperlink ref="B45" r:id="rId35" display="Deflate 64, word size=257 ultra (7z 9.20)"/>
    <hyperlink ref="B65" r:id="rId36" display="PESpin1.32 (2016)"/>
    <hyperlink ref="B59" r:id="rId37" display="PECompact v2.79d (30.07.2006) (LZMA)"/>
    <hyperlink ref="B61" r:id="rId38" display="PECompact v2.79d (30.07.2006) (LZMA)"/>
    <hyperlink ref="B63" r:id="rId39" display="PECompact v2.79d (30.07.2006) (LZMA)"/>
    <hyperlink ref="B60" r:id="rId40" display="PECompact v2.79d (30.07.2006) (LZMA)"/>
    <hyperlink ref="B62" r:id="rId41" display="PECompact v2.79d (30.07.2006) (LZMA)"/>
    <hyperlink ref="B32" r:id="rId42" display="FreeARC 0.67 (2012) ultra Bulat Zigashin"/>
    <hyperlink ref="B54" r:id="rId43"/>
    <hyperlink ref="B48" r:id="rId44" display="APPack (2009) aPLib Jørgen Ibsen"/>
    <hyperlink ref="B47" r:id="rId45"/>
    <hyperlink ref="B72" r:id="rId46"/>
    <hyperlink ref="B37" r:id="rId47" display="eXpressor 1.5.0.1 level3 (2007) "/>
    <hyperlink ref="B18" r:id="rId48"/>
    <hyperlink ref="B15" r:id="rId49"/>
    <hyperlink ref="B21" r:id="rId50"/>
    <hyperlink ref="B16" r:id="rId51" display="Emma 0.1.24 x64 preset 'best' Márcio Pais"/>
    <hyperlink ref="B29" r:id="rId52" display="PowerArchiver 17.00.90 .pa opt. strong extreme"/>
    <hyperlink ref="B13" r:id="rId53"/>
    <hyperlink ref="B28" r:id="rId54" display="RAZOR Archiver 1.00 (2017) Christian Martelock"/>
    <hyperlink ref="K8" r:id="rId55"/>
    <hyperlink ref="L8" r:id="rId56"/>
    <hyperlink ref="K5" r:id="rId57"/>
    <hyperlink ref="L5" r:id="rId58"/>
    <hyperlink ref="F5" r:id="rId59"/>
    <hyperlink ref="G5" r:id="rId60"/>
    <hyperlink ref="H5" r:id="rId61"/>
    <hyperlink ref="I5" r:id="rId62"/>
    <hyperlink ref="B12" r:id="rId63"/>
  </hyperlinks>
  <pageMargins left="0.70866141732283472" right="0.70866141732283472" top="0.74803149606299213" bottom="0.74803149606299213" header="0.31496062992125984" footer="0.31496062992125984"/>
  <pageSetup paperSize="9" scale="65" fitToWidth="2" fitToHeight="2" orientation="portrait" r:id="rId64"/>
  <legacyDrawing r:id="rId65"/>
  <picture r:id="rId66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7632148A-C89D-4957-A572-F6FD6AF4736D}">
            <x14:dataBar minLength="0" maxLength="100" border="1" negativeBarBorderColorSameAsPositive="0">
              <x14:cfvo type="autoMin"/>
              <x14:cfvo type="autoMax"/>
              <x14:borderColor rgb="FFFF555A"/>
              <x14:negativeFillColor rgb="FFFF0000"/>
              <x14:negativeBorderColor rgb="FFFF0000"/>
              <x14:axisColor rgb="FF000000"/>
            </x14:dataBar>
          </x14:cfRule>
          <xm:sqref>D11:D77</xm:sqref>
        </x14:conditionalFormatting>
        <x14:conditionalFormatting xmlns:xm="http://schemas.microsoft.com/office/excel/2006/main">
          <x14:cfRule type="dataBar" id="{96C9489C-1122-4181-A952-D71C5D604908}">
            <x14:dataBar minLength="0" maxLength="100" border="1" negativeBarBorderColorSameAsPositive="0">
              <x14:cfvo type="autoMin"/>
              <x14:cfvo type="autoMax"/>
              <x14:borderColor rgb="FFFF555A"/>
              <x14:negativeFillColor rgb="FFFF0000"/>
              <x14:negativeBorderColor rgb="FFFF0000"/>
              <x14:axisColor rgb="FF000000"/>
            </x14:dataBar>
          </x14:cfRule>
          <xm:sqref>E12:E72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12</vt:i4>
      </vt:variant>
    </vt:vector>
  </HeadingPairs>
  <TitlesOfParts>
    <vt:vector size="12" baseType="lpstr">
      <vt:lpstr>10 Commandments</vt:lpstr>
      <vt:lpstr>FAQ</vt:lpstr>
      <vt:lpstr>Fairytale Archive Structure</vt:lpstr>
      <vt:lpstr>PRACTICAL CHART</vt:lpstr>
      <vt:lpstr>slower than practical</vt:lpstr>
      <vt:lpstr>AUDIO</vt:lpstr>
      <vt:lpstr>Camera Raw</vt:lpstr>
      <vt:lpstr>Camera Raw ARW</vt:lpstr>
      <vt:lpstr>EXE</vt:lpstr>
      <vt:lpstr>IMAGE</vt:lpstr>
      <vt:lpstr>PDF, JPG, MP3, PNG, Installer..</vt:lpstr>
      <vt:lpstr>TEXT (Bibles)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SqueezeChart 2013</dc:title>
  <dc:creator>Stephan Busch</dc:creator>
  <cp:lastModifiedBy>SqueezeChart</cp:lastModifiedBy>
  <cp:lastPrinted>2015-11-16T08:04:44Z</cp:lastPrinted>
  <dcterms:created xsi:type="dcterms:W3CDTF">2013-10-31T15:18:20Z</dcterms:created>
  <dcterms:modified xsi:type="dcterms:W3CDTF">2017-12-20T17:37:30Z</dcterms:modified>
</cp:coreProperties>
</file>